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ay4-7 Journal &amp; TB" sheetId="2" state="visible" r:id="rId4"/>
    <sheet name="Day13 Final A-c" sheetId="3" state="visible" r:id="rId5"/>
    <sheet name="Day18 Stock" sheetId="4" state="visible" r:id="rId6"/>
    <sheet name="Day21-22 GST" sheetId="5" state="visible" r:id="rId7"/>
    <sheet name="Day24 BRS" sheetId="6" state="visible" r:id="rId8"/>
    <sheet name="Day25 Ageing" sheetId="7" state="visible" r:id="rId9"/>
    <sheet name="Day28 Payroll" sheetId="8" state="visible" r:id="rId10"/>
    <sheet name="Day30 Project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<sst xmlns="http://schemas.openxmlformats.org/spreadsheetml/2006/main" count="406" uniqueCount="242">
  <si>
    <t xml:space="preserve">TallyPrime + Accounting (30 Days) – Practice Workbook</t>
  </si>
  <si>
    <t xml:space="preserve">CodingEasily · codingeasily.in/tutorial/tally-prime/</t>
  </si>
  <si>
    <t xml:space="preserve">How to use</t>
  </si>
  <si>
    <t xml:space="preserve">1. Yellow cells with blue text are inputs – change them to practise with your own figures.</t>
  </si>
  <si>
    <t xml:space="preserve">2. Black cells are formulas (answer keys). They recalculate automatically.</t>
  </si>
  <si>
    <t xml:space="preserve">3. Try each exercise in TallyPrime first, then compare with this workbook.</t>
  </si>
  <si>
    <t xml:space="preserve">4. GST and TDS rates are for learning; confirm current rates on official portals before real use.</t>
  </si>
  <si>
    <t xml:space="preserve">5. All business names, GSTINs and figures are fictional samples.</t>
  </si>
  <si>
    <t xml:space="preserve">Tally and TallyPrime are trademarks of Tally Solutions Pvt. Ltd. This independent workbook is not affiliated with or endorsed by Tally Solutions.</t>
  </si>
  <si>
    <t xml:space="preserve">Sheets</t>
  </si>
  <si>
    <t xml:space="preserve">Day4-7 Journal &amp; TB</t>
  </si>
  <si>
    <t xml:space="preserve">Rohit Stationers April 2026: journal lines, ledger balances, trial balance</t>
  </si>
  <si>
    <t xml:space="preserve">Day13 Final A-c</t>
  </si>
  <si>
    <t xml:space="preserve">Trading and P&amp;L for April with closing stock</t>
  </si>
  <si>
    <t xml:space="preserve">Day18 Stock</t>
  </si>
  <si>
    <t xml:space="preserve">A4 paper movements: FIFO and average cost</t>
  </si>
  <si>
    <t xml:space="preserve">Day21-22 GST</t>
  </si>
  <si>
    <t xml:space="preserve">June 2026 invoices, tax split, ITC and set-off (cash payable)</t>
  </si>
  <si>
    <t xml:space="preserve">Day24 BRS</t>
  </si>
  <si>
    <t xml:space="preserve">Bank reconciliation statement</t>
  </si>
  <si>
    <t xml:space="preserve">Day25 Ageing</t>
  </si>
  <si>
    <t xml:space="preserve">Receivables ageing and interest on overdue bills</t>
  </si>
  <si>
    <t xml:space="preserve">Day28 Payroll</t>
  </si>
  <si>
    <t xml:space="preserve">Salary, PF and ESI for two employees</t>
  </si>
  <si>
    <t xml:space="preserve">Day30 Project</t>
  </si>
  <si>
    <t xml:space="preserve">Kavya Traders final project – data and answer key</t>
  </si>
  <si>
    <t xml:space="preserve">Rohit Stationers – April 2026 journal and trial balance</t>
  </si>
  <si>
    <t xml:space="preserve">One row per ledger line. Ledger balances use SUMIF on the journal lines.</t>
  </si>
  <si>
    <t xml:space="preserve">Date</t>
  </si>
  <si>
    <t xml:space="preserve">Ledger</t>
  </si>
  <si>
    <t xml:space="preserve">Dr (₹)</t>
  </si>
  <si>
    <t xml:space="preserve">Cr (₹)</t>
  </si>
  <si>
    <t xml:space="preserve">Narration</t>
  </si>
  <si>
    <t xml:space="preserve">01-04-2026</t>
  </si>
  <si>
    <t xml:space="preserve">Cash</t>
  </si>
  <si>
    <t xml:space="preserve">Being business started with cash</t>
  </si>
  <si>
    <t xml:space="preserve">Capital</t>
  </si>
  <si>
    <t xml:space="preserve">02-04-2026</t>
  </si>
  <si>
    <t xml:space="preserve">SBI Bank</t>
  </si>
  <si>
    <t xml:space="preserve">Being cash deposited into SBI current account</t>
  </si>
  <si>
    <t xml:space="preserve">03-04-2026</t>
  </si>
  <si>
    <t xml:space="preserve">Purchases</t>
  </si>
  <si>
    <t xml:space="preserve">Being goods purchased for cash</t>
  </si>
  <si>
    <t xml:space="preserve">04-04-2026</t>
  </si>
  <si>
    <t xml:space="preserve">Being goods purchased on credit from Sai Traders</t>
  </si>
  <si>
    <t xml:space="preserve">Sai Traders</t>
  </si>
  <si>
    <t xml:space="preserve">05-04-2026</t>
  </si>
  <si>
    <t xml:space="preserve">Furniture</t>
  </si>
  <si>
    <t xml:space="preserve">Being furniture purchased by cheque</t>
  </si>
  <si>
    <t xml:space="preserve">07-04-2026</t>
  </si>
  <si>
    <t xml:space="preserve">Being goods sold for cash</t>
  </si>
  <si>
    <t xml:space="preserve">Sales</t>
  </si>
  <si>
    <t xml:space="preserve">09-04-2026</t>
  </si>
  <si>
    <t xml:space="preserve">Gupta School</t>
  </si>
  <si>
    <t xml:space="preserve">Being goods sold on credit to Gupta School</t>
  </si>
  <si>
    <t xml:space="preserve">10-04-2026</t>
  </si>
  <si>
    <t xml:space="preserve">Being damaged goods returned to Sai Traders</t>
  </si>
  <si>
    <t xml:space="preserve">Purchase Returns</t>
  </si>
  <si>
    <t xml:space="preserve">12-04-2026</t>
  </si>
  <si>
    <t xml:space="preserve">Sales Returns</t>
  </si>
  <si>
    <t xml:space="preserve">Being goods returned by Gupta School</t>
  </si>
  <si>
    <t xml:space="preserve">15-04-2026</t>
  </si>
  <si>
    <t xml:space="preserve">Rent</t>
  </si>
  <si>
    <t xml:space="preserve">Being shop rent for April paid by UPI</t>
  </si>
  <si>
    <t xml:space="preserve">18-04-2026</t>
  </si>
  <si>
    <t xml:space="preserve">Being cash received from Gupta School in full settlement, 2% discount allowed</t>
  </si>
  <si>
    <t xml:space="preserve">Discount Allowed</t>
  </si>
  <si>
    <t xml:space="preserve">20-04-2026</t>
  </si>
  <si>
    <t xml:space="preserve">Being cheque paid to Sai Traders in full settlement</t>
  </si>
  <si>
    <t xml:space="preserve">Discount Received</t>
  </si>
  <si>
    <t xml:space="preserve">22-04-2026</t>
  </si>
  <si>
    <t xml:space="preserve">Drawings</t>
  </si>
  <si>
    <t xml:space="preserve">Being cash withdrawn for personal use</t>
  </si>
  <si>
    <t xml:space="preserve">25-04-2026</t>
  </si>
  <si>
    <t xml:space="preserve">Electricity</t>
  </si>
  <si>
    <t xml:space="preserve">Being electricity bill paid in cash</t>
  </si>
  <si>
    <t xml:space="preserve">28-04-2026</t>
  </si>
  <si>
    <t xml:space="preserve">Being goods taken by the proprietor for personal use</t>
  </si>
  <si>
    <t xml:space="preserve">30-04-2026</t>
  </si>
  <si>
    <t xml:space="preserve">Salary</t>
  </si>
  <si>
    <t xml:space="preserve">Being April salary paid by bank transfer</t>
  </si>
  <si>
    <t xml:space="preserve">Being commission received in cash</t>
  </si>
  <si>
    <t xml:space="preserve">Commission Received</t>
  </si>
  <si>
    <t xml:space="preserve">Journal total</t>
  </si>
  <si>
    <t xml:space="preserve">Trial balance (closing balances)</t>
  </si>
  <si>
    <t xml:space="preserve">Net balance</t>
  </si>
  <si>
    <t xml:space="preserve">Total</t>
  </si>
  <si>
    <t xml:space="preserve">Check (should be 0)</t>
  </si>
  <si>
    <t xml:space="preserve">Rohit Stationers – Trading and P&amp;L for April 2026</t>
  </si>
  <si>
    <t xml:space="preserve">Balances are linked (green) from the trial balance sheet. Closing stock is an input.</t>
  </si>
  <si>
    <t xml:space="preserve">Item</t>
  </si>
  <si>
    <t xml:space="preserve">Amount (₹) – Dr +, Cr –</t>
  </si>
  <si>
    <t xml:space="preserve">Closing stock</t>
  </si>
  <si>
    <t xml:space="preserve">Net sales</t>
  </si>
  <si>
    <t xml:space="preserve">Net purchases</t>
  </si>
  <si>
    <t xml:space="preserve">Gross profit</t>
  </si>
  <si>
    <t xml:space="preserve">Indirect expenses</t>
  </si>
  <si>
    <t xml:space="preserve">Other income</t>
  </si>
  <si>
    <t xml:space="preserve">Net profit / (loss)</t>
  </si>
  <si>
    <t xml:space="preserve">Closing capital</t>
  </si>
  <si>
    <t xml:space="preserve">A4 Copier Paper – May 2026: FIFO vs average cost</t>
  </si>
  <si>
    <t xml:space="preserve">Inward rows carry a rate; outward rows only a quantity. FIFO uses the latest inward layers.</t>
  </si>
  <si>
    <t xml:space="preserve">Type (In/Out)</t>
  </si>
  <si>
    <t xml:space="preserve">Qty</t>
  </si>
  <si>
    <t xml:space="preserve">Rate (₹)</t>
  </si>
  <si>
    <t xml:space="preserve">Inward value (₹)</t>
  </si>
  <si>
    <t xml:space="preserve">FIFO helper – remaining from layer</t>
  </si>
  <si>
    <t xml:space="preserve">01-05-2026</t>
  </si>
  <si>
    <t xml:space="preserve">In</t>
  </si>
  <si>
    <t xml:space="preserve">Later inward qty</t>
  </si>
  <si>
    <t xml:space="preserve">Remaining qty</t>
  </si>
  <si>
    <t xml:space="preserve">Value (₹)</t>
  </si>
  <si>
    <t xml:space="preserve">02-05-2026</t>
  </si>
  <si>
    <t xml:space="preserve">06-05-2026</t>
  </si>
  <si>
    <t xml:space="preserve">Out</t>
  </si>
  <si>
    <t xml:space="preserve">15-05-2026</t>
  </si>
  <si>
    <t xml:space="preserve">22-05-2026</t>
  </si>
  <si>
    <t xml:space="preserve">Total inward qty</t>
  </si>
  <si>
    <t xml:space="preserve">Total outward qty</t>
  </si>
  <si>
    <t xml:space="preserve">Closing qty</t>
  </si>
  <si>
    <t xml:space="preserve">Average rate</t>
  </si>
  <si>
    <t xml:space="preserve">Closing value – average</t>
  </si>
  <si>
    <t xml:space="preserve">Closing value – FIFO</t>
  </si>
  <si>
    <t xml:space="preserve">Rohit Stationers – June 2026 invoices, ITC and set-off</t>
  </si>
  <si>
    <t xml:space="preserve">Set “Inter-state?” to Yes for supplies to another state. Rates: 18% copier paper and pens, 0% notebooks.</t>
  </si>
  <si>
    <t xml:space="preserve">Doc</t>
  </si>
  <si>
    <t xml:space="preserve">Type (Sale/Purchase)</t>
  </si>
  <si>
    <t xml:space="preserve">GST %</t>
  </si>
  <si>
    <t xml:space="preserve">Inter-state?</t>
  </si>
  <si>
    <t xml:space="preserve">Taxable (₹)</t>
  </si>
  <si>
    <t xml:space="preserve">IGST</t>
  </si>
  <si>
    <t xml:space="preserve">CGST</t>
  </si>
  <si>
    <t xml:space="preserve">SGST</t>
  </si>
  <si>
    <t xml:space="preserve">SAI/208</t>
  </si>
  <si>
    <t xml:space="preserve">Purchase</t>
  </si>
  <si>
    <t xml:space="preserve">A4 Copier Paper 75 GSM</t>
  </si>
  <si>
    <t xml:space="preserve">No</t>
  </si>
  <si>
    <t xml:space="preserve">Ball Pen Blue</t>
  </si>
  <si>
    <t xml:space="preserve">Notebook 200 Pages</t>
  </si>
  <si>
    <t xml:space="preserve">RS/26-27/101</t>
  </si>
  <si>
    <t xml:space="preserve">Sale</t>
  </si>
  <si>
    <t xml:space="preserve">RS/26-27/102</t>
  </si>
  <si>
    <t xml:space="preserve">Yes</t>
  </si>
  <si>
    <t xml:space="preserve">RS/26-27/103</t>
  </si>
  <si>
    <t xml:space="preserve">RCM – advocate fee</t>
  </si>
  <si>
    <t xml:space="preserve">Output tax</t>
  </si>
  <si>
    <t xml:space="preserve">ITC (purchases + RCM)</t>
  </si>
  <si>
    <t xml:space="preserve">IGST payable after IGST credit</t>
  </si>
  <si>
    <t xml:space="preserve">IGST credit left</t>
  </si>
  <si>
    <t xml:space="preserve">CGST shortfall</t>
  </si>
  <si>
    <t xml:space="preserve">SGST shortfall</t>
  </si>
  <si>
    <t xml:space="preserve">IGST credit used on CGST</t>
  </si>
  <si>
    <t xml:space="preserve">IGST credit used on SGST</t>
  </si>
  <si>
    <t xml:space="preserve">CGST credit excess</t>
  </si>
  <si>
    <t xml:space="preserve">SGST credit excess</t>
  </si>
  <si>
    <t xml:space="preserve">CGST credit used on IGST</t>
  </si>
  <si>
    <t xml:space="preserve">SGST credit used on IGST</t>
  </si>
  <si>
    <t xml:space="preserve">Cash – IGST</t>
  </si>
  <si>
    <t xml:space="preserve">Cash – CGST</t>
  </si>
  <si>
    <t xml:space="preserve">Cash – SGST</t>
  </si>
  <si>
    <t xml:space="preserve">Cash – RCM (always cash)</t>
  </si>
  <si>
    <t xml:space="preserve">Total GST cash for June</t>
  </si>
  <si>
    <t xml:space="preserve">SGST credit carried forward</t>
  </si>
  <si>
    <t xml:space="preserve">CGST credit carried forward</t>
  </si>
  <si>
    <t xml:space="preserve">Bank reconciliation – SBI, 30 June 2026</t>
  </si>
  <si>
    <t xml:space="preserve">Inputs in yellow. The result must equal the passbook balance.</t>
  </si>
  <si>
    <t xml:space="preserve">Balance as per cash book (bank column)</t>
  </si>
  <si>
    <t xml:space="preserve">Bank charges not yet in books</t>
  </si>
  <si>
    <t xml:space="preserve">Direct NEFT credit not yet in books</t>
  </si>
  <si>
    <t xml:space="preserve">Adjusted book balance</t>
  </si>
  <si>
    <t xml:space="preserve">Add: cheques issued, not presented</t>
  </si>
  <si>
    <t xml:space="preserve">Less: cheques deposited, not cleared</t>
  </si>
  <si>
    <t xml:space="preserve">Balance as per passbook</t>
  </si>
  <si>
    <t xml:space="preserve">Receivables ageing and interest</t>
  </si>
  <si>
    <t xml:space="preserve">Change the “As on” date to re-age the bills.</t>
  </si>
  <si>
    <t xml:space="preserve">As on</t>
  </si>
  <si>
    <t xml:space="preserve">Interest rate p.a.</t>
  </si>
  <si>
    <t xml:space="preserve">Party</t>
  </si>
  <si>
    <t xml:space="preserve">Bill</t>
  </si>
  <si>
    <t xml:space="preserve">Bill date</t>
  </si>
  <si>
    <t xml:space="preserve">Amount</t>
  </si>
  <si>
    <t xml:space="preserve">Received</t>
  </si>
  <si>
    <t xml:space="preserve">Pending</t>
  </si>
  <si>
    <t xml:space="preserve">Credit days</t>
  </si>
  <si>
    <t xml:space="preserve">Age (days)</t>
  </si>
  <si>
    <t xml:space="preserve">Days overdue</t>
  </si>
  <si>
    <t xml:space="preserve">Bucket</t>
  </si>
  <si>
    <t xml:space="preserve">Interest on overdue (₹)</t>
  </si>
  <si>
    <t xml:space="preserve">Capital Office Supplies</t>
  </si>
  <si>
    <t xml:space="preserve">Mehta Book Depot</t>
  </si>
  <si>
    <t xml:space="preserve">RS/26-27/118</t>
  </si>
  <si>
    <t xml:space="preserve">RS/26-27/131</t>
  </si>
  <si>
    <t xml:space="preserve">Om Book Centre</t>
  </si>
  <si>
    <t xml:space="preserve">RS/26-27/140</t>
  </si>
  <si>
    <t xml:space="preserve">Sharma Coaching</t>
  </si>
  <si>
    <t xml:space="preserve">RS/26-27/146</t>
  </si>
  <si>
    <t xml:space="preserve">Pending (₹)</t>
  </si>
  <si>
    <t xml:space="preserve">0-30</t>
  </si>
  <si>
    <t xml:space="preserve">31-60</t>
  </si>
  <si>
    <t xml:space="preserve">61-90</t>
  </si>
  <si>
    <t xml:space="preserve">90+</t>
  </si>
  <si>
    <t xml:space="preserve">Payroll – October 2026</t>
  </si>
  <si>
    <t xml:space="preserve">PF 12% of basic (capped at ₹15,000 wages); ESI 0.75% / 3.25% when gross ≤ ₹21,000 (rounded up).</t>
  </si>
  <si>
    <t xml:space="preserve">PF wage cap</t>
  </si>
  <si>
    <t xml:space="preserve">ESI gross limit</t>
  </si>
  <si>
    <t xml:space="preserve">Employee</t>
  </si>
  <si>
    <t xml:space="preserve">Basic</t>
  </si>
  <si>
    <t xml:space="preserve">HRA</t>
  </si>
  <si>
    <t xml:space="preserve">Conveyance</t>
  </si>
  <si>
    <t xml:space="preserve">Special</t>
  </si>
  <si>
    <t xml:space="preserve">Gross</t>
  </si>
  <si>
    <t xml:space="preserve">Employee PF</t>
  </si>
  <si>
    <t xml:space="preserve">Employee ESI</t>
  </si>
  <si>
    <t xml:space="preserve">Net pay</t>
  </si>
  <si>
    <t xml:space="preserve">Employer PF</t>
  </si>
  <si>
    <t xml:space="preserve">Employer ESI</t>
  </si>
  <si>
    <t xml:space="preserve">Anil Yadav</t>
  </si>
  <si>
    <t xml:space="preserve">Priya Sharma</t>
  </si>
  <si>
    <t xml:space="preserve">Kavya Traders, Agra – July 2026 final project</t>
  </si>
  <si>
    <t xml:space="preserve">Data first, answer key below. Try the project in TallyPrime before looking at the key.</t>
  </si>
  <si>
    <t xml:space="preserve">Transactions</t>
  </si>
  <si>
    <t xml:space="preserve">1. 03-07 Purchased from Om Agencies, Agra (registered, UP) on credit, invoice OM/771: A4 Copier Paper 300 reams @ ₹255, Ball Pen Blue 200 boxes @ ₹80, Notebook 200 Pages 600 @ ₹24 (exempt). GST 18% on taxable items.</t>
  </si>
  <si>
    <t xml:space="preserve">2. 06-07 Sold to Mehta &amp; Co., Agra (registered) on credit, invoice KT/26-27/051: A4 Copier Paper 250 reams @ ₹320, Notebook 200 Pages 500 @ ₹32.</t>
  </si>
  <si>
    <t xml:space="preserve">3. 10-07 Sold to Paper World, Delhi (registered) on credit, invoice KT/26-27/052: A4 Copier Paper 150 reams @ ₹330, Ball Pen Blue 150 boxes @ ₹125.</t>
  </si>
  <si>
    <t xml:space="preserve">4. 12-07 Paid Om Agencies the opening balance of ₹25,000 by cheque.</t>
  </si>
  <si>
    <t xml:space="preserve">5. 15-07 Received ₹60,000 from Mehta &amp; Co. by NEFT (opening bill ₹17,600 first, balance against KT/26-27/051).</t>
  </si>
  <si>
    <t xml:space="preserve">6. 20-07 Cash sales to walk-in customers, invoice KT/26-27/053: A4 Copier Paper 20 @ ₹320, Ball Pen Blue 30 @ ₹120, Notebook 200 Pages 50 @ ₹35.</t>
  </si>
  <si>
    <t xml:space="preserve">7. 25-07 Paid shop rent ₹12,000 by bank to the landlord, an unregistered individual (GST under reverse charge @ 18%).</t>
  </si>
  <si>
    <t xml:space="preserve">8. 31-07 Paid salary ₹18,000 by bank (two helpers, not covered by PF/ESI).</t>
  </si>
  <si>
    <t xml:space="preserve">9. 31-07 Paid electricity bill ₹4,200 in cash.</t>
  </si>
  <si>
    <t xml:space="preserve">Type</t>
  </si>
  <si>
    <t xml:space="preserve">Rate</t>
  </si>
  <si>
    <t xml:space="preserve">Taxable</t>
  </si>
  <si>
    <t xml:space="preserve">OM/771</t>
  </si>
  <si>
    <t xml:space="preserve">KT/26-27/051</t>
  </si>
  <si>
    <t xml:space="preserve">KT/26-27/052</t>
  </si>
  <si>
    <t xml:space="preserve">KT/26-27/053</t>
  </si>
  <si>
    <t xml:space="preserve">Opening stock value</t>
  </si>
  <si>
    <t xml:space="preserve">Closing stock (FIFO) – from your stock summary</t>
  </si>
  <si>
    <t xml:space="preserve">Sales (taxable)</t>
  </si>
  <si>
    <t xml:space="preserve">Purchases (taxable)</t>
  </si>
  <si>
    <t xml:space="preserve">Net profit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</si>
</sst>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#,##0.00;\(#,##0.00\);\-"/>
    <numFmt numFmtId="167" formatCode="0%"/>
    <numFmt numFmtId="168" formatCode="dd\-mm\-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766E"/>
      <name val="Arial"/>
      <family val="0"/>
      <charset val="1"/>
    </font>
    <font>
      <sz val="11"/>
      <color rgb="FF475569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64748B"/>
      <name val="Arial"/>
      <family val="0"/>
      <charset val="1"/>
    </font>
    <font>
      <i val="true"/>
      <sz val="11"/>
      <color rgb="FF4755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03300"/>
      <rgbColor rgb="FF333300"/>
      <rgbColor rgb="FF993300"/>
      <rgbColor rgb="FF993366"/>
      <rgbColor rgb="FF4755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5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  <c r="B13" s="3" t="s">
        <v>11</v>
      </c>
    </row>
    <row r="14" customFormat="false" ht="15" hidden="false" customHeight="false" outlineLevel="0" collapsed="false">
      <c r="A14" s="4" t="s">
        <v>12</v>
      </c>
      <c r="B14" s="3" t="s">
        <v>13</v>
      </c>
    </row>
    <row r="15" customFormat="false" ht="15" hidden="false" customHeight="false" outlineLevel="0" collapsed="false">
      <c r="A15" s="4" t="s">
        <v>14</v>
      </c>
      <c r="B15" s="3" t="s">
        <v>15</v>
      </c>
    </row>
    <row r="16" customFormat="false" ht="15" hidden="false" customHeight="false" outlineLevel="0" collapsed="false">
      <c r="A16" s="4" t="s">
        <v>16</v>
      </c>
      <c r="B16" s="3" t="s">
        <v>17</v>
      </c>
    </row>
    <row r="17" customFormat="false" ht="15" hidden="false" customHeight="false" outlineLevel="0" collapsed="false">
      <c r="A17" s="4" t="s">
        <v>18</v>
      </c>
      <c r="B17" s="3" t="s">
        <v>19</v>
      </c>
    </row>
    <row r="18" customFormat="false" ht="15" hidden="false" customHeight="false" outlineLevel="0" collapsed="false">
      <c r="A18" s="4" t="s">
        <v>20</v>
      </c>
      <c r="B18" s="3" t="s">
        <v>21</v>
      </c>
    </row>
    <row r="19" customFormat="false" ht="15" hidden="false" customHeight="false" outlineLevel="0" collapsed="false">
      <c r="A19" s="4" t="s">
        <v>22</v>
      </c>
      <c r="B19" s="3" t="s">
        <v>23</v>
      </c>
    </row>
    <row r="20" customFormat="false" ht="15" hidden="false" customHeight="false" outlineLevel="0" collapsed="false">
      <c r="A20" s="4" t="s">
        <v>24</v>
      </c>
      <c r="B20" s="3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E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4" min="3" style="0" width="14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1" t="s">
        <v>26</v>
      </c>
    </row>
    <row r="2" customFormat="false" ht="15" hidden="false" customHeight="false" outlineLevel="0" collapsed="false">
      <c r="A2" s="6" t="s">
        <v>27</v>
      </c>
    </row>
    <row r="4" customFormat="false" ht="15" hidden="false" customHeight="false" outlineLevel="0" collapsed="false">
      <c r="A4" s="7" t="s">
        <v>28</v>
      </c>
      <c r="B4" s="7" t="s">
        <v>29</v>
      </c>
      <c r="C4" s="7" t="s">
        <v>30</v>
      </c>
      <c r="D4" s="7" t="s">
        <v>31</v>
      </c>
      <c r="E4" s="7" t="s">
        <v>32</v>
      </c>
    </row>
    <row r="5" customFormat="false" ht="15" hidden="false" customHeight="false" outlineLevel="0" collapsed="false">
      <c r="A5" s="8" t="s">
        <v>33</v>
      </c>
      <c r="B5" s="8" t="s">
        <v>34</v>
      </c>
      <c r="C5" s="9" t="n">
        <v>200000</v>
      </c>
      <c r="D5" s="8"/>
      <c r="E5" s="8" t="s">
        <v>35</v>
      </c>
    </row>
    <row r="6" customFormat="false" ht="15" hidden="false" customHeight="false" outlineLevel="0" collapsed="false">
      <c r="A6" s="8" t="s">
        <v>33</v>
      </c>
      <c r="B6" s="8" t="s">
        <v>36</v>
      </c>
      <c r="C6" s="8"/>
      <c r="D6" s="9" t="n">
        <v>200000</v>
      </c>
      <c r="E6" s="8"/>
    </row>
    <row r="7" customFormat="false" ht="15" hidden="false" customHeight="false" outlineLevel="0" collapsed="false">
      <c r="A7" s="8" t="s">
        <v>37</v>
      </c>
      <c r="B7" s="8" t="s">
        <v>38</v>
      </c>
      <c r="C7" s="9" t="n">
        <v>120000</v>
      </c>
      <c r="D7" s="8"/>
      <c r="E7" s="8" t="s">
        <v>39</v>
      </c>
    </row>
    <row r="8" customFormat="false" ht="15" hidden="false" customHeight="false" outlineLevel="0" collapsed="false">
      <c r="A8" s="8" t="s">
        <v>37</v>
      </c>
      <c r="B8" s="8" t="s">
        <v>34</v>
      </c>
      <c r="C8" s="8"/>
      <c r="D8" s="9" t="n">
        <v>120000</v>
      </c>
      <c r="E8" s="8"/>
    </row>
    <row r="9" customFormat="false" ht="15" hidden="false" customHeight="false" outlineLevel="0" collapsed="false">
      <c r="A9" s="8" t="s">
        <v>40</v>
      </c>
      <c r="B9" s="8" t="s">
        <v>41</v>
      </c>
      <c r="C9" s="9" t="n">
        <v>25000</v>
      </c>
      <c r="D9" s="8"/>
      <c r="E9" s="8" t="s">
        <v>42</v>
      </c>
    </row>
    <row r="10" customFormat="false" ht="15" hidden="false" customHeight="false" outlineLevel="0" collapsed="false">
      <c r="A10" s="8" t="s">
        <v>40</v>
      </c>
      <c r="B10" s="8" t="s">
        <v>34</v>
      </c>
      <c r="C10" s="8"/>
      <c r="D10" s="9" t="n">
        <v>25000</v>
      </c>
      <c r="E10" s="8"/>
    </row>
    <row r="11" customFormat="false" ht="15" hidden="false" customHeight="false" outlineLevel="0" collapsed="false">
      <c r="A11" s="8" t="s">
        <v>43</v>
      </c>
      <c r="B11" s="8" t="s">
        <v>41</v>
      </c>
      <c r="C11" s="9" t="n">
        <v>40000</v>
      </c>
      <c r="D11" s="8"/>
      <c r="E11" s="8" t="s">
        <v>44</v>
      </c>
    </row>
    <row r="12" customFormat="false" ht="15" hidden="false" customHeight="false" outlineLevel="0" collapsed="false">
      <c r="A12" s="8" t="s">
        <v>43</v>
      </c>
      <c r="B12" s="8" t="s">
        <v>45</v>
      </c>
      <c r="C12" s="8"/>
      <c r="D12" s="9" t="n">
        <v>40000</v>
      </c>
      <c r="E12" s="8"/>
    </row>
    <row r="13" customFormat="false" ht="15" hidden="false" customHeight="false" outlineLevel="0" collapsed="false">
      <c r="A13" s="8" t="s">
        <v>46</v>
      </c>
      <c r="B13" s="8" t="s">
        <v>47</v>
      </c>
      <c r="C13" s="9" t="n">
        <v>25000</v>
      </c>
      <c r="D13" s="8"/>
      <c r="E13" s="8" t="s">
        <v>48</v>
      </c>
    </row>
    <row r="14" customFormat="false" ht="15" hidden="false" customHeight="false" outlineLevel="0" collapsed="false">
      <c r="A14" s="8" t="s">
        <v>46</v>
      </c>
      <c r="B14" s="8" t="s">
        <v>38</v>
      </c>
      <c r="C14" s="8"/>
      <c r="D14" s="9" t="n">
        <v>25000</v>
      </c>
      <c r="E14" s="8"/>
    </row>
    <row r="15" customFormat="false" ht="15" hidden="false" customHeight="false" outlineLevel="0" collapsed="false">
      <c r="A15" s="8" t="s">
        <v>49</v>
      </c>
      <c r="B15" s="8" t="s">
        <v>34</v>
      </c>
      <c r="C15" s="9" t="n">
        <v>18000</v>
      </c>
      <c r="D15" s="8"/>
      <c r="E15" s="8" t="s">
        <v>50</v>
      </c>
    </row>
    <row r="16" customFormat="false" ht="15" hidden="false" customHeight="false" outlineLevel="0" collapsed="false">
      <c r="A16" s="8" t="s">
        <v>49</v>
      </c>
      <c r="B16" s="8" t="s">
        <v>51</v>
      </c>
      <c r="C16" s="8"/>
      <c r="D16" s="9" t="n">
        <v>18000</v>
      </c>
      <c r="E16" s="8"/>
    </row>
    <row r="17" customFormat="false" ht="15" hidden="false" customHeight="false" outlineLevel="0" collapsed="false">
      <c r="A17" s="8" t="s">
        <v>52</v>
      </c>
      <c r="B17" s="8" t="s">
        <v>53</v>
      </c>
      <c r="C17" s="9" t="n">
        <v>20000</v>
      </c>
      <c r="D17" s="8"/>
      <c r="E17" s="8" t="s">
        <v>54</v>
      </c>
    </row>
    <row r="18" customFormat="false" ht="15" hidden="false" customHeight="false" outlineLevel="0" collapsed="false">
      <c r="A18" s="8" t="s">
        <v>52</v>
      </c>
      <c r="B18" s="8" t="s">
        <v>51</v>
      </c>
      <c r="C18" s="8"/>
      <c r="D18" s="9" t="n">
        <v>20000</v>
      </c>
      <c r="E18" s="8"/>
    </row>
    <row r="19" customFormat="false" ht="15" hidden="false" customHeight="false" outlineLevel="0" collapsed="false">
      <c r="A19" s="8" t="s">
        <v>55</v>
      </c>
      <c r="B19" s="8" t="s">
        <v>45</v>
      </c>
      <c r="C19" s="9" t="n">
        <v>2000</v>
      </c>
      <c r="D19" s="8"/>
      <c r="E19" s="8" t="s">
        <v>56</v>
      </c>
    </row>
    <row r="20" customFormat="false" ht="15" hidden="false" customHeight="false" outlineLevel="0" collapsed="false">
      <c r="A20" s="8" t="s">
        <v>55</v>
      </c>
      <c r="B20" s="8" t="s">
        <v>57</v>
      </c>
      <c r="C20" s="8"/>
      <c r="D20" s="9" t="n">
        <v>2000</v>
      </c>
      <c r="E20" s="8"/>
    </row>
    <row r="21" customFormat="false" ht="15" hidden="false" customHeight="false" outlineLevel="0" collapsed="false">
      <c r="A21" s="8" t="s">
        <v>58</v>
      </c>
      <c r="B21" s="8" t="s">
        <v>59</v>
      </c>
      <c r="C21" s="9" t="n">
        <v>1000</v>
      </c>
      <c r="D21" s="8"/>
      <c r="E21" s="8" t="s">
        <v>60</v>
      </c>
    </row>
    <row r="22" customFormat="false" ht="15" hidden="false" customHeight="false" outlineLevel="0" collapsed="false">
      <c r="A22" s="8" t="s">
        <v>58</v>
      </c>
      <c r="B22" s="8" t="s">
        <v>53</v>
      </c>
      <c r="C22" s="8"/>
      <c r="D22" s="9" t="n">
        <v>1000</v>
      </c>
      <c r="E22" s="8"/>
    </row>
    <row r="23" customFormat="false" ht="15" hidden="false" customHeight="false" outlineLevel="0" collapsed="false">
      <c r="A23" s="8" t="s">
        <v>61</v>
      </c>
      <c r="B23" s="8" t="s">
        <v>62</v>
      </c>
      <c r="C23" s="9" t="n">
        <v>6000</v>
      </c>
      <c r="D23" s="8"/>
      <c r="E23" s="8" t="s">
        <v>63</v>
      </c>
    </row>
    <row r="24" customFormat="false" ht="15" hidden="false" customHeight="false" outlineLevel="0" collapsed="false">
      <c r="A24" s="8" t="s">
        <v>61</v>
      </c>
      <c r="B24" s="8" t="s">
        <v>38</v>
      </c>
      <c r="C24" s="8"/>
      <c r="D24" s="9" t="n">
        <v>6000</v>
      </c>
      <c r="E24" s="8"/>
    </row>
    <row r="25" customFormat="false" ht="15" hidden="false" customHeight="false" outlineLevel="0" collapsed="false">
      <c r="A25" s="8" t="s">
        <v>64</v>
      </c>
      <c r="B25" s="8" t="s">
        <v>34</v>
      </c>
      <c r="C25" s="9" t="n">
        <v>18620</v>
      </c>
      <c r="D25" s="8"/>
      <c r="E25" s="8" t="s">
        <v>65</v>
      </c>
    </row>
    <row r="26" customFormat="false" ht="15" hidden="false" customHeight="false" outlineLevel="0" collapsed="false">
      <c r="A26" s="8" t="s">
        <v>64</v>
      </c>
      <c r="B26" s="8" t="s">
        <v>66</v>
      </c>
      <c r="C26" s="9" t="n">
        <v>380</v>
      </c>
      <c r="D26" s="8"/>
      <c r="E26" s="8" t="s">
        <v>65</v>
      </c>
    </row>
    <row r="27" customFormat="false" ht="15" hidden="false" customHeight="false" outlineLevel="0" collapsed="false">
      <c r="A27" s="8" t="s">
        <v>64</v>
      </c>
      <c r="B27" s="8" t="s">
        <v>53</v>
      </c>
      <c r="C27" s="8"/>
      <c r="D27" s="9" t="n">
        <v>19000</v>
      </c>
      <c r="E27" s="8"/>
    </row>
    <row r="28" customFormat="false" ht="15" hidden="false" customHeight="false" outlineLevel="0" collapsed="false">
      <c r="A28" s="8" t="s">
        <v>67</v>
      </c>
      <c r="B28" s="8" t="s">
        <v>45</v>
      </c>
      <c r="C28" s="9" t="n">
        <v>38000</v>
      </c>
      <c r="D28" s="8"/>
      <c r="E28" s="8" t="s">
        <v>68</v>
      </c>
    </row>
    <row r="29" customFormat="false" ht="15" hidden="false" customHeight="false" outlineLevel="0" collapsed="false">
      <c r="A29" s="8" t="s">
        <v>67</v>
      </c>
      <c r="B29" s="8" t="s">
        <v>38</v>
      </c>
      <c r="C29" s="8"/>
      <c r="D29" s="9" t="n">
        <v>37500</v>
      </c>
      <c r="E29" s="8"/>
    </row>
    <row r="30" customFormat="false" ht="15" hidden="false" customHeight="false" outlineLevel="0" collapsed="false">
      <c r="A30" s="8" t="s">
        <v>67</v>
      </c>
      <c r="B30" s="8" t="s">
        <v>69</v>
      </c>
      <c r="C30" s="8"/>
      <c r="D30" s="9" t="n">
        <v>500</v>
      </c>
      <c r="E30" s="8"/>
    </row>
    <row r="31" customFormat="false" ht="15" hidden="false" customHeight="false" outlineLevel="0" collapsed="false">
      <c r="A31" s="8" t="s">
        <v>70</v>
      </c>
      <c r="B31" s="8" t="s">
        <v>71</v>
      </c>
      <c r="C31" s="9" t="n">
        <v>4000</v>
      </c>
      <c r="D31" s="8"/>
      <c r="E31" s="8" t="s">
        <v>72</v>
      </c>
    </row>
    <row r="32" customFormat="false" ht="15" hidden="false" customHeight="false" outlineLevel="0" collapsed="false">
      <c r="A32" s="8" t="s">
        <v>70</v>
      </c>
      <c r="B32" s="8" t="s">
        <v>34</v>
      </c>
      <c r="C32" s="8"/>
      <c r="D32" s="9" t="n">
        <v>4000</v>
      </c>
      <c r="E32" s="8"/>
    </row>
    <row r="33" customFormat="false" ht="15" hidden="false" customHeight="false" outlineLevel="0" collapsed="false">
      <c r="A33" s="8" t="s">
        <v>73</v>
      </c>
      <c r="B33" s="8" t="s">
        <v>74</v>
      </c>
      <c r="C33" s="9" t="n">
        <v>2300</v>
      </c>
      <c r="D33" s="8"/>
      <c r="E33" s="8" t="s">
        <v>75</v>
      </c>
    </row>
    <row r="34" customFormat="false" ht="15" hidden="false" customHeight="false" outlineLevel="0" collapsed="false">
      <c r="A34" s="8" t="s">
        <v>73</v>
      </c>
      <c r="B34" s="8" t="s">
        <v>34</v>
      </c>
      <c r="C34" s="8"/>
      <c r="D34" s="9" t="n">
        <v>2300</v>
      </c>
      <c r="E34" s="8"/>
    </row>
    <row r="35" customFormat="false" ht="15" hidden="false" customHeight="false" outlineLevel="0" collapsed="false">
      <c r="A35" s="8" t="s">
        <v>76</v>
      </c>
      <c r="B35" s="8" t="s">
        <v>71</v>
      </c>
      <c r="C35" s="9" t="n">
        <v>1500</v>
      </c>
      <c r="D35" s="8"/>
      <c r="E35" s="8" t="s">
        <v>77</v>
      </c>
    </row>
    <row r="36" customFormat="false" ht="15" hidden="false" customHeight="false" outlineLevel="0" collapsed="false">
      <c r="A36" s="8" t="s">
        <v>76</v>
      </c>
      <c r="B36" s="8" t="s">
        <v>41</v>
      </c>
      <c r="C36" s="8"/>
      <c r="D36" s="9" t="n">
        <v>1500</v>
      </c>
      <c r="E36" s="8"/>
    </row>
    <row r="37" customFormat="false" ht="15" hidden="false" customHeight="false" outlineLevel="0" collapsed="false">
      <c r="A37" s="8" t="s">
        <v>78</v>
      </c>
      <c r="B37" s="8" t="s">
        <v>79</v>
      </c>
      <c r="C37" s="9" t="n">
        <v>12000</v>
      </c>
      <c r="D37" s="8"/>
      <c r="E37" s="8" t="s">
        <v>80</v>
      </c>
    </row>
    <row r="38" customFormat="false" ht="15" hidden="false" customHeight="false" outlineLevel="0" collapsed="false">
      <c r="A38" s="8" t="s">
        <v>78</v>
      </c>
      <c r="B38" s="8" t="s">
        <v>38</v>
      </c>
      <c r="C38" s="8"/>
      <c r="D38" s="9" t="n">
        <v>12000</v>
      </c>
      <c r="E38" s="8"/>
    </row>
    <row r="39" customFormat="false" ht="15" hidden="false" customHeight="false" outlineLevel="0" collapsed="false">
      <c r="A39" s="8" t="s">
        <v>78</v>
      </c>
      <c r="B39" s="8" t="s">
        <v>34</v>
      </c>
      <c r="C39" s="9" t="n">
        <v>1800</v>
      </c>
      <c r="D39" s="8"/>
      <c r="E39" s="8" t="s">
        <v>81</v>
      </c>
    </row>
    <row r="40" customFormat="false" ht="15" hidden="false" customHeight="false" outlineLevel="0" collapsed="false">
      <c r="A40" s="8" t="s">
        <v>78</v>
      </c>
      <c r="B40" s="8" t="s">
        <v>82</v>
      </c>
      <c r="C40" s="8"/>
      <c r="D40" s="9" t="n">
        <v>1800</v>
      </c>
      <c r="E40" s="8"/>
    </row>
    <row r="41" customFormat="false" ht="15" hidden="false" customHeight="false" outlineLevel="0" collapsed="false">
      <c r="B41" s="10" t="s">
        <v>83</v>
      </c>
      <c r="C41" s="11" t="n">
        <f aca="false">SUM(C5:C40)</f>
        <v>535600</v>
      </c>
      <c r="D41" s="11" t="n">
        <f aca="false">SUM(D5:D40)</f>
        <v>535600</v>
      </c>
    </row>
    <row r="43" customFormat="false" ht="15" hidden="false" customHeight="false" outlineLevel="0" collapsed="false">
      <c r="A43" s="4" t="s">
        <v>84</v>
      </c>
    </row>
    <row r="44" customFormat="false" ht="15" hidden="false" customHeight="false" outlineLevel="0" collapsed="false">
      <c r="A44" s="7" t="s">
        <v>29</v>
      </c>
      <c r="B44" s="7" t="s">
        <v>85</v>
      </c>
      <c r="C44" s="7" t="s">
        <v>30</v>
      </c>
      <c r="D44" s="7" t="s">
        <v>31</v>
      </c>
    </row>
    <row r="45" customFormat="false" ht="15" hidden="false" customHeight="false" outlineLevel="0" collapsed="false">
      <c r="A45" s="12" t="s">
        <v>34</v>
      </c>
      <c r="B45" s="13" t="n">
        <f aca="false">SUMIF($B$5:$B$40,A45,$C$5:$C$40)-SUMIF($B$5:$B$40,A45,$D$5:$D$40)</f>
        <v>87120</v>
      </c>
      <c r="C45" s="13" t="n">
        <f aca="false">MAX(B45,0)</f>
        <v>87120</v>
      </c>
      <c r="D45" s="13" t="n">
        <f aca="false">MAX(-B45,0)</f>
        <v>0</v>
      </c>
    </row>
    <row r="46" customFormat="false" ht="15" hidden="false" customHeight="false" outlineLevel="0" collapsed="false">
      <c r="A46" s="12" t="s">
        <v>38</v>
      </c>
      <c r="B46" s="13" t="n">
        <f aca="false">SUMIF($B$5:$B$40,A46,$C$5:$C$40)-SUMIF($B$5:$B$40,A46,$D$5:$D$40)</f>
        <v>39500</v>
      </c>
      <c r="C46" s="13" t="n">
        <f aca="false">MAX(B46,0)</f>
        <v>39500</v>
      </c>
      <c r="D46" s="13" t="n">
        <f aca="false">MAX(-B46,0)</f>
        <v>0</v>
      </c>
    </row>
    <row r="47" customFormat="false" ht="15" hidden="false" customHeight="false" outlineLevel="0" collapsed="false">
      <c r="A47" s="12" t="s">
        <v>36</v>
      </c>
      <c r="B47" s="13" t="n">
        <f aca="false">SUMIF($B$5:$B$40,A47,$C$5:$C$40)-SUMIF($B$5:$B$40,A47,$D$5:$D$40)</f>
        <v>-200000</v>
      </c>
      <c r="C47" s="13" t="n">
        <f aca="false">MAX(B47,0)</f>
        <v>0</v>
      </c>
      <c r="D47" s="13" t="n">
        <f aca="false">MAX(-B47,0)</f>
        <v>200000</v>
      </c>
    </row>
    <row r="48" customFormat="false" ht="15" hidden="false" customHeight="false" outlineLevel="0" collapsed="false">
      <c r="A48" s="12" t="s">
        <v>71</v>
      </c>
      <c r="B48" s="13" t="n">
        <f aca="false">SUMIF($B$5:$B$40,A48,$C$5:$C$40)-SUMIF($B$5:$B$40,A48,$D$5:$D$40)</f>
        <v>5500</v>
      </c>
      <c r="C48" s="13" t="n">
        <f aca="false">MAX(B48,0)</f>
        <v>5500</v>
      </c>
      <c r="D48" s="13" t="n">
        <f aca="false">MAX(-B48,0)</f>
        <v>0</v>
      </c>
    </row>
    <row r="49" customFormat="false" ht="15" hidden="false" customHeight="false" outlineLevel="0" collapsed="false">
      <c r="A49" s="12" t="s">
        <v>41</v>
      </c>
      <c r="B49" s="13" t="n">
        <f aca="false">SUMIF($B$5:$B$40,A49,$C$5:$C$40)-SUMIF($B$5:$B$40,A49,$D$5:$D$40)</f>
        <v>63500</v>
      </c>
      <c r="C49" s="13" t="n">
        <f aca="false">MAX(B49,0)</f>
        <v>63500</v>
      </c>
      <c r="D49" s="13" t="n">
        <f aca="false">MAX(-B49,0)</f>
        <v>0</v>
      </c>
    </row>
    <row r="50" customFormat="false" ht="15" hidden="false" customHeight="false" outlineLevel="0" collapsed="false">
      <c r="A50" s="12" t="s">
        <v>57</v>
      </c>
      <c r="B50" s="13" t="n">
        <f aca="false">SUMIF($B$5:$B$40,A50,$C$5:$C$40)-SUMIF($B$5:$B$40,A50,$D$5:$D$40)</f>
        <v>-2000</v>
      </c>
      <c r="C50" s="13" t="n">
        <f aca="false">MAX(B50,0)</f>
        <v>0</v>
      </c>
      <c r="D50" s="13" t="n">
        <f aca="false">MAX(-B50,0)</f>
        <v>2000</v>
      </c>
    </row>
    <row r="51" customFormat="false" ht="15" hidden="false" customHeight="false" outlineLevel="0" collapsed="false">
      <c r="A51" s="12" t="s">
        <v>51</v>
      </c>
      <c r="B51" s="13" t="n">
        <f aca="false">SUMIF($B$5:$B$40,A51,$C$5:$C$40)-SUMIF($B$5:$B$40,A51,$D$5:$D$40)</f>
        <v>-38000</v>
      </c>
      <c r="C51" s="13" t="n">
        <f aca="false">MAX(B51,0)</f>
        <v>0</v>
      </c>
      <c r="D51" s="13" t="n">
        <f aca="false">MAX(-B51,0)</f>
        <v>38000</v>
      </c>
    </row>
    <row r="52" customFormat="false" ht="15" hidden="false" customHeight="false" outlineLevel="0" collapsed="false">
      <c r="A52" s="12" t="s">
        <v>59</v>
      </c>
      <c r="B52" s="13" t="n">
        <f aca="false">SUMIF($B$5:$B$40,A52,$C$5:$C$40)-SUMIF($B$5:$B$40,A52,$D$5:$D$40)</f>
        <v>1000</v>
      </c>
      <c r="C52" s="13" t="n">
        <f aca="false">MAX(B52,0)</f>
        <v>1000</v>
      </c>
      <c r="D52" s="13" t="n">
        <f aca="false">MAX(-B52,0)</f>
        <v>0</v>
      </c>
    </row>
    <row r="53" customFormat="false" ht="15" hidden="false" customHeight="false" outlineLevel="0" collapsed="false">
      <c r="A53" s="12" t="s">
        <v>47</v>
      </c>
      <c r="B53" s="13" t="n">
        <f aca="false">SUMIF($B$5:$B$40,A53,$C$5:$C$40)-SUMIF($B$5:$B$40,A53,$D$5:$D$40)</f>
        <v>25000</v>
      </c>
      <c r="C53" s="13" t="n">
        <f aca="false">MAX(B53,0)</f>
        <v>25000</v>
      </c>
      <c r="D53" s="13" t="n">
        <f aca="false">MAX(-B53,0)</f>
        <v>0</v>
      </c>
    </row>
    <row r="54" customFormat="false" ht="15" hidden="false" customHeight="false" outlineLevel="0" collapsed="false">
      <c r="A54" s="12" t="s">
        <v>45</v>
      </c>
      <c r="B54" s="13" t="n">
        <f aca="false">SUMIF($B$5:$B$40,A54,$C$5:$C$40)-SUMIF($B$5:$B$40,A54,$D$5:$D$40)</f>
        <v>0</v>
      </c>
      <c r="C54" s="13" t="n">
        <f aca="false">MAX(B54,0)</f>
        <v>0</v>
      </c>
      <c r="D54" s="13" t="n">
        <f aca="false">MAX(-B54,0)</f>
        <v>0</v>
      </c>
    </row>
    <row r="55" customFormat="false" ht="15" hidden="false" customHeight="false" outlineLevel="0" collapsed="false">
      <c r="A55" s="12" t="s">
        <v>53</v>
      </c>
      <c r="B55" s="13" t="n">
        <f aca="false">SUMIF($B$5:$B$40,A55,$C$5:$C$40)-SUMIF($B$5:$B$40,A55,$D$5:$D$40)</f>
        <v>0</v>
      </c>
      <c r="C55" s="13" t="n">
        <f aca="false">MAX(B55,0)</f>
        <v>0</v>
      </c>
      <c r="D55" s="13" t="n">
        <f aca="false">MAX(-B55,0)</f>
        <v>0</v>
      </c>
    </row>
    <row r="56" customFormat="false" ht="15" hidden="false" customHeight="false" outlineLevel="0" collapsed="false">
      <c r="A56" s="12" t="s">
        <v>62</v>
      </c>
      <c r="B56" s="13" t="n">
        <f aca="false">SUMIF($B$5:$B$40,A56,$C$5:$C$40)-SUMIF($B$5:$B$40,A56,$D$5:$D$40)</f>
        <v>6000</v>
      </c>
      <c r="C56" s="13" t="n">
        <f aca="false">MAX(B56,0)</f>
        <v>6000</v>
      </c>
      <c r="D56" s="13" t="n">
        <f aca="false">MAX(-B56,0)</f>
        <v>0</v>
      </c>
    </row>
    <row r="57" customFormat="false" ht="15" hidden="false" customHeight="false" outlineLevel="0" collapsed="false">
      <c r="A57" s="12" t="s">
        <v>74</v>
      </c>
      <c r="B57" s="13" t="n">
        <f aca="false">SUMIF($B$5:$B$40,A57,$C$5:$C$40)-SUMIF($B$5:$B$40,A57,$D$5:$D$40)</f>
        <v>2300</v>
      </c>
      <c r="C57" s="13" t="n">
        <f aca="false">MAX(B57,0)</f>
        <v>2300</v>
      </c>
      <c r="D57" s="13" t="n">
        <f aca="false">MAX(-B57,0)</f>
        <v>0</v>
      </c>
    </row>
    <row r="58" customFormat="false" ht="15" hidden="false" customHeight="false" outlineLevel="0" collapsed="false">
      <c r="A58" s="12" t="s">
        <v>79</v>
      </c>
      <c r="B58" s="13" t="n">
        <f aca="false">SUMIF($B$5:$B$40,A58,$C$5:$C$40)-SUMIF($B$5:$B$40,A58,$D$5:$D$40)</f>
        <v>12000</v>
      </c>
      <c r="C58" s="13" t="n">
        <f aca="false">MAX(B58,0)</f>
        <v>12000</v>
      </c>
      <c r="D58" s="13" t="n">
        <f aca="false">MAX(-B58,0)</f>
        <v>0</v>
      </c>
    </row>
    <row r="59" customFormat="false" ht="15" hidden="false" customHeight="false" outlineLevel="0" collapsed="false">
      <c r="A59" s="12" t="s">
        <v>66</v>
      </c>
      <c r="B59" s="13" t="n">
        <f aca="false">SUMIF($B$5:$B$40,A59,$C$5:$C$40)-SUMIF($B$5:$B$40,A59,$D$5:$D$40)</f>
        <v>380</v>
      </c>
      <c r="C59" s="13" t="n">
        <f aca="false">MAX(B59,0)</f>
        <v>380</v>
      </c>
      <c r="D59" s="13" t="n">
        <f aca="false">MAX(-B59,0)</f>
        <v>0</v>
      </c>
    </row>
    <row r="60" customFormat="false" ht="15" hidden="false" customHeight="false" outlineLevel="0" collapsed="false">
      <c r="A60" s="12" t="s">
        <v>69</v>
      </c>
      <c r="B60" s="13" t="n">
        <f aca="false">SUMIF($B$5:$B$40,A60,$C$5:$C$40)-SUMIF($B$5:$B$40,A60,$D$5:$D$40)</f>
        <v>-500</v>
      </c>
      <c r="C60" s="13" t="n">
        <f aca="false">MAX(B60,0)</f>
        <v>0</v>
      </c>
      <c r="D60" s="13" t="n">
        <f aca="false">MAX(-B60,0)</f>
        <v>500</v>
      </c>
    </row>
    <row r="61" customFormat="false" ht="15" hidden="false" customHeight="false" outlineLevel="0" collapsed="false">
      <c r="A61" s="12" t="s">
        <v>82</v>
      </c>
      <c r="B61" s="13" t="n">
        <f aca="false">SUMIF($B$5:$B$40,A61,$C$5:$C$40)-SUMIF($B$5:$B$40,A61,$D$5:$D$40)</f>
        <v>-1800</v>
      </c>
      <c r="C61" s="13" t="n">
        <f aca="false">MAX(B61,0)</f>
        <v>0</v>
      </c>
      <c r="D61" s="13" t="n">
        <f aca="false">MAX(-B61,0)</f>
        <v>1800</v>
      </c>
    </row>
    <row r="62" customFormat="false" ht="15" hidden="false" customHeight="false" outlineLevel="0" collapsed="false">
      <c r="A62" s="10" t="s">
        <v>86</v>
      </c>
      <c r="C62" s="11" t="n">
        <f aca="false">SUM(C45:C61)</f>
        <v>242300</v>
      </c>
      <c r="D62" s="11" t="n">
        <f aca="false">SUM(D45:D61)</f>
        <v>242300</v>
      </c>
    </row>
    <row r="63" customFormat="false" ht="15" hidden="false" customHeight="false" outlineLevel="0" collapsed="false">
      <c r="A63" s="12" t="s">
        <v>87</v>
      </c>
      <c r="C63" s="13" t="n">
        <f aca="false">C62-D62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</cols>
  <sheetData>
    <row r="1" customFormat="false" ht="17.35" hidden="false" customHeight="false" outlineLevel="0" collapsed="false">
      <c r="A1" s="1" t="s">
        <v>88</v>
      </c>
    </row>
    <row r="2" customFormat="false" ht="15" hidden="false" customHeight="false" outlineLevel="0" collapsed="false">
      <c r="A2" s="6" t="s">
        <v>89</v>
      </c>
    </row>
    <row r="4" customFormat="false" ht="26.85" hidden="false" customHeight="false" outlineLevel="0" collapsed="false">
      <c r="A4" s="7" t="s">
        <v>90</v>
      </c>
      <c r="B4" s="7" t="s">
        <v>91</v>
      </c>
    </row>
    <row r="5" customFormat="false" ht="15" hidden="false" customHeight="false" outlineLevel="0" collapsed="false">
      <c r="A5" s="12" t="s">
        <v>92</v>
      </c>
      <c r="B5" s="9" t="n">
        <v>30000</v>
      </c>
    </row>
    <row r="6" customFormat="false" ht="15" hidden="false" customHeight="false" outlineLevel="0" collapsed="false">
      <c r="A6" s="12" t="s">
        <v>51</v>
      </c>
      <c r="B6" s="14" t="n">
        <f aca="false">'Day4-7 Journal &amp; TB'!B51</f>
        <v>-38000</v>
      </c>
    </row>
    <row r="7" customFormat="false" ht="15" hidden="false" customHeight="false" outlineLevel="0" collapsed="false">
      <c r="A7" s="12" t="s">
        <v>59</v>
      </c>
      <c r="B7" s="14" t="n">
        <f aca="false">'Day4-7 Journal &amp; TB'!B52</f>
        <v>1000</v>
      </c>
    </row>
    <row r="8" customFormat="false" ht="15" hidden="false" customHeight="false" outlineLevel="0" collapsed="false">
      <c r="A8" s="12" t="s">
        <v>41</v>
      </c>
      <c r="B8" s="14" t="n">
        <f aca="false">'Day4-7 Journal &amp; TB'!B49</f>
        <v>63500</v>
      </c>
    </row>
    <row r="9" customFormat="false" ht="15" hidden="false" customHeight="false" outlineLevel="0" collapsed="false">
      <c r="A9" s="12" t="s">
        <v>57</v>
      </c>
      <c r="B9" s="14" t="n">
        <f aca="false">'Day4-7 Journal &amp; TB'!B50</f>
        <v>-2000</v>
      </c>
    </row>
    <row r="10" customFormat="false" ht="15" hidden="false" customHeight="false" outlineLevel="0" collapsed="false">
      <c r="A10" s="12" t="s">
        <v>62</v>
      </c>
      <c r="B10" s="14" t="n">
        <f aca="false">'Day4-7 Journal &amp; TB'!B56</f>
        <v>6000</v>
      </c>
    </row>
    <row r="11" customFormat="false" ht="15" hidden="false" customHeight="false" outlineLevel="0" collapsed="false">
      <c r="A11" s="12" t="s">
        <v>79</v>
      </c>
      <c r="B11" s="14" t="n">
        <f aca="false">'Day4-7 Journal &amp; TB'!B58</f>
        <v>12000</v>
      </c>
    </row>
    <row r="12" customFormat="false" ht="15" hidden="false" customHeight="false" outlineLevel="0" collapsed="false">
      <c r="A12" s="12" t="s">
        <v>74</v>
      </c>
      <c r="B12" s="14" t="n">
        <f aca="false">'Day4-7 Journal &amp; TB'!B57</f>
        <v>2300</v>
      </c>
    </row>
    <row r="13" customFormat="false" ht="15" hidden="false" customHeight="false" outlineLevel="0" collapsed="false">
      <c r="A13" s="12" t="s">
        <v>66</v>
      </c>
      <c r="B13" s="14" t="n">
        <f aca="false">'Day4-7 Journal &amp; TB'!B59</f>
        <v>380</v>
      </c>
    </row>
    <row r="14" customFormat="false" ht="15" hidden="false" customHeight="false" outlineLevel="0" collapsed="false">
      <c r="A14" s="12" t="s">
        <v>69</v>
      </c>
      <c r="B14" s="14" t="n">
        <f aca="false">'Day4-7 Journal &amp; TB'!B60</f>
        <v>-500</v>
      </c>
    </row>
    <row r="15" customFormat="false" ht="15" hidden="false" customHeight="false" outlineLevel="0" collapsed="false">
      <c r="A15" s="12" t="s">
        <v>82</v>
      </c>
      <c r="B15" s="14" t="n">
        <f aca="false">'Day4-7 Journal &amp; TB'!B61</f>
        <v>-1800</v>
      </c>
    </row>
    <row r="16" customFormat="false" ht="15" hidden="false" customHeight="false" outlineLevel="0" collapsed="false">
      <c r="A16" s="12" t="s">
        <v>36</v>
      </c>
      <c r="B16" s="14" t="n">
        <f aca="false">'Day4-7 Journal &amp; TB'!B47</f>
        <v>-200000</v>
      </c>
    </row>
    <row r="17" customFormat="false" ht="15" hidden="false" customHeight="false" outlineLevel="0" collapsed="false">
      <c r="A17" s="12" t="s">
        <v>71</v>
      </c>
      <c r="B17" s="14" t="n">
        <f aca="false">'Day4-7 Journal &amp; TB'!B48</f>
        <v>5500</v>
      </c>
    </row>
    <row r="19" customFormat="false" ht="15" hidden="false" customHeight="false" outlineLevel="0" collapsed="false">
      <c r="A19" s="10" t="s">
        <v>93</v>
      </c>
      <c r="B19" s="11" t="n">
        <f aca="false">-B6-B7</f>
        <v>37000</v>
      </c>
    </row>
    <row r="20" customFormat="false" ht="15" hidden="false" customHeight="false" outlineLevel="0" collapsed="false">
      <c r="A20" s="10" t="s">
        <v>94</v>
      </c>
      <c r="B20" s="11" t="n">
        <f aca="false">B8+B9</f>
        <v>61500</v>
      </c>
    </row>
    <row r="21" customFormat="false" ht="15" hidden="false" customHeight="false" outlineLevel="0" collapsed="false">
      <c r="A21" s="10" t="s">
        <v>95</v>
      </c>
      <c r="B21" s="11" t="n">
        <f aca="false">B19+B5-B20</f>
        <v>5500</v>
      </c>
    </row>
    <row r="22" customFormat="false" ht="15" hidden="false" customHeight="false" outlineLevel="0" collapsed="false">
      <c r="A22" s="10" t="s">
        <v>96</v>
      </c>
      <c r="B22" s="11" t="n">
        <f aca="false">B10+B11+B12+B13</f>
        <v>20680</v>
      </c>
    </row>
    <row r="23" customFormat="false" ht="15" hidden="false" customHeight="false" outlineLevel="0" collapsed="false">
      <c r="A23" s="10" t="s">
        <v>97</v>
      </c>
      <c r="B23" s="11" t="n">
        <f aca="false">-B14-B15</f>
        <v>2300</v>
      </c>
    </row>
    <row r="24" customFormat="false" ht="15" hidden="false" customHeight="false" outlineLevel="0" collapsed="false">
      <c r="A24" s="10" t="s">
        <v>98</v>
      </c>
      <c r="B24" s="11" t="n">
        <f aca="false">B21+B23-B22</f>
        <v>-12880</v>
      </c>
    </row>
    <row r="25" customFormat="false" ht="15" hidden="false" customHeight="false" outlineLevel="0" collapsed="false">
      <c r="A25" s="10" t="s">
        <v>99</v>
      </c>
      <c r="B25" s="11" t="n">
        <f aca="false">-B16+B24-B17</f>
        <v>181620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16"/>
    <col collapsed="false" customWidth="true" hidden="false" outlineLevel="0" max="6" min="6" style="0" width="2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100</v>
      </c>
    </row>
    <row r="2" customFormat="false" ht="15" hidden="false" customHeight="false" outlineLevel="0" collapsed="false">
      <c r="A2" s="6" t="s">
        <v>101</v>
      </c>
    </row>
    <row r="4" customFormat="false" ht="26.85" hidden="false" customHeight="false" outlineLevel="0" collapsed="false">
      <c r="A4" s="7" t="s">
        <v>28</v>
      </c>
      <c r="B4" s="7" t="s">
        <v>102</v>
      </c>
      <c r="C4" s="7" t="s">
        <v>103</v>
      </c>
      <c r="D4" s="7" t="s">
        <v>104</v>
      </c>
      <c r="E4" s="7" t="s">
        <v>105</v>
      </c>
      <c r="G4" s="4" t="s">
        <v>106</v>
      </c>
    </row>
    <row r="5" customFormat="false" ht="15" hidden="false" customHeight="false" outlineLevel="0" collapsed="false">
      <c r="A5" s="8" t="s">
        <v>107</v>
      </c>
      <c r="B5" s="8" t="s">
        <v>108</v>
      </c>
      <c r="C5" s="9" t="n">
        <v>100</v>
      </c>
      <c r="D5" s="9" t="n">
        <v>250</v>
      </c>
      <c r="E5" s="13" t="n">
        <f aca="false">IF(B5="In",C5*D5,0)</f>
        <v>25000</v>
      </c>
      <c r="G5" s="7" t="s">
        <v>109</v>
      </c>
      <c r="H5" s="7" t="s">
        <v>110</v>
      </c>
      <c r="I5" s="7" t="s">
        <v>111</v>
      </c>
    </row>
    <row r="6" customFormat="false" ht="15" hidden="false" customHeight="false" outlineLevel="0" collapsed="false">
      <c r="A6" s="8" t="s">
        <v>112</v>
      </c>
      <c r="B6" s="8" t="s">
        <v>108</v>
      </c>
      <c r="C6" s="9" t="n">
        <v>200</v>
      </c>
      <c r="D6" s="9" t="n">
        <v>260</v>
      </c>
      <c r="E6" s="13" t="n">
        <f aca="false">IF(B6="In",C6*D6,0)</f>
        <v>52000</v>
      </c>
      <c r="G6" s="13" t="n">
        <f aca="false">SUMIF(B6:B10,"In",C6:C10)</f>
        <v>300</v>
      </c>
      <c r="H6" s="13" t="n">
        <f aca="false">IF(B5="In",MIN(C5,MAX(0,C13-G6)),0)</f>
        <v>0</v>
      </c>
      <c r="I6" s="13" t="n">
        <f aca="false">H6*IF(B5="In",D5,0)</f>
        <v>0</v>
      </c>
    </row>
    <row r="7" customFormat="false" ht="15" hidden="false" customHeight="false" outlineLevel="0" collapsed="false">
      <c r="A7" s="8" t="s">
        <v>113</v>
      </c>
      <c r="B7" s="8" t="s">
        <v>114</v>
      </c>
      <c r="C7" s="9" t="n">
        <v>150</v>
      </c>
      <c r="D7" s="9"/>
      <c r="E7" s="13" t="n">
        <f aca="false">IF(B7="In",C7*D7,0)</f>
        <v>0</v>
      </c>
      <c r="G7" s="13" t="n">
        <f aca="false">SUMIF(B7:B10,"In",C7:C10)</f>
        <v>100</v>
      </c>
      <c r="H7" s="13" t="n">
        <f aca="false">IF(B6="In",MIN(C6,MAX(0,C13-G7)),0)</f>
        <v>30</v>
      </c>
      <c r="I7" s="13" t="n">
        <f aca="false">H7*IF(B6="In",D6,0)</f>
        <v>7800</v>
      </c>
    </row>
    <row r="8" customFormat="false" ht="15" hidden="false" customHeight="false" outlineLevel="0" collapsed="false">
      <c r="A8" s="8" t="s">
        <v>115</v>
      </c>
      <c r="B8" s="8" t="s">
        <v>108</v>
      </c>
      <c r="C8" s="9" t="n">
        <v>100</v>
      </c>
      <c r="D8" s="9" t="n">
        <v>270</v>
      </c>
      <c r="E8" s="13" t="n">
        <f aca="false">IF(B8="In",C8*D8,0)</f>
        <v>27000</v>
      </c>
      <c r="G8" s="13" t="n">
        <f aca="false">SUMIF(B8:B10,"In",C8:C10)</f>
        <v>100</v>
      </c>
      <c r="H8" s="13" t="n">
        <f aca="false">IF(B7="In",MIN(C7,MAX(0,C13-G8)),0)</f>
        <v>0</v>
      </c>
      <c r="I8" s="13" t="n">
        <f aca="false">H8*IF(B7="In",D7,0)</f>
        <v>0</v>
      </c>
    </row>
    <row r="9" customFormat="false" ht="15" hidden="false" customHeight="false" outlineLevel="0" collapsed="false">
      <c r="A9" s="8" t="s">
        <v>116</v>
      </c>
      <c r="B9" s="8" t="s">
        <v>114</v>
      </c>
      <c r="C9" s="9" t="n">
        <v>120</v>
      </c>
      <c r="D9" s="9"/>
      <c r="E9" s="13" t="n">
        <f aca="false">IF(B9="In",C9*D9,0)</f>
        <v>0</v>
      </c>
      <c r="G9" s="13" t="n">
        <f aca="false">SUMIF(B9:B10,"In",C9:C10)</f>
        <v>0</v>
      </c>
      <c r="H9" s="13" t="n">
        <f aca="false">IF(B8="In",MIN(C8,MAX(0,C13-G9)),0)</f>
        <v>100</v>
      </c>
      <c r="I9" s="13" t="n">
        <f aca="false">H9*IF(B8="In",D8,0)</f>
        <v>27000</v>
      </c>
    </row>
    <row r="10" customFormat="false" ht="15" hidden="false" customHeight="false" outlineLevel="0" collapsed="false">
      <c r="G10" s="13" t="n">
        <v>0</v>
      </c>
      <c r="H10" s="13" t="n">
        <f aca="false">IF(B9="In",MIN(C9,MAX(0,C13-G10)),0)</f>
        <v>0</v>
      </c>
      <c r="I10" s="13" t="n">
        <f aca="false">H10*IF(B9="In",D9,0)</f>
        <v>0</v>
      </c>
    </row>
    <row r="11" customFormat="false" ht="15" hidden="false" customHeight="false" outlineLevel="0" collapsed="false">
      <c r="A11" s="10" t="s">
        <v>117</v>
      </c>
      <c r="C11" s="13" t="n">
        <f aca="false">SUMIF(B5:B9,"In",C5:C9)</f>
        <v>400</v>
      </c>
    </row>
    <row r="12" customFormat="false" ht="15" hidden="false" customHeight="false" outlineLevel="0" collapsed="false">
      <c r="A12" s="10" t="s">
        <v>118</v>
      </c>
      <c r="C12" s="13" t="n">
        <f aca="false">SUMIF(B5:B9,"Out",C5:C9)</f>
        <v>270</v>
      </c>
    </row>
    <row r="13" customFormat="false" ht="15" hidden="false" customHeight="false" outlineLevel="0" collapsed="false">
      <c r="A13" s="10" t="s">
        <v>119</v>
      </c>
      <c r="C13" s="13" t="n">
        <f aca="false">C11-C12</f>
        <v>130</v>
      </c>
    </row>
    <row r="14" customFormat="false" ht="15" hidden="false" customHeight="false" outlineLevel="0" collapsed="false">
      <c r="A14" s="10" t="s">
        <v>120</v>
      </c>
      <c r="C14" s="15" t="n">
        <f aca="false">SUM(E5:E9)/C11</f>
        <v>260</v>
      </c>
    </row>
    <row r="15" customFormat="false" ht="15" hidden="false" customHeight="false" outlineLevel="0" collapsed="false">
      <c r="A15" s="10" t="s">
        <v>121</v>
      </c>
      <c r="C15" s="15" t="n">
        <f aca="false">C13*C14</f>
        <v>33800</v>
      </c>
    </row>
    <row r="16" customFormat="false" ht="15" hidden="false" customHeight="false" outlineLevel="0" collapsed="false">
      <c r="A16" s="10" t="s">
        <v>122</v>
      </c>
      <c r="C16" s="15" t="n">
        <f aca="false">SUM(I6:I10)</f>
        <v>34800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L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11" min="9" style="0" width="12"/>
    <col collapsed="false" customWidth="true" hidden="false" outlineLevel="0" max="12" min="12" style="0" width="14"/>
  </cols>
  <sheetData>
    <row r="1" customFormat="false" ht="17.35" hidden="false" customHeight="false" outlineLevel="0" collapsed="false">
      <c r="A1" s="1" t="s">
        <v>123</v>
      </c>
    </row>
    <row r="2" customFormat="false" ht="15" hidden="false" customHeight="false" outlineLevel="0" collapsed="false">
      <c r="A2" s="6" t="s">
        <v>124</v>
      </c>
    </row>
    <row r="4" customFormat="false" ht="26.85" hidden="false" customHeight="false" outlineLevel="0" collapsed="false">
      <c r="A4" s="7" t="s">
        <v>125</v>
      </c>
      <c r="B4" s="7" t="s">
        <v>126</v>
      </c>
      <c r="C4" s="7" t="s">
        <v>90</v>
      </c>
      <c r="D4" s="7" t="s">
        <v>103</v>
      </c>
      <c r="E4" s="7" t="s">
        <v>104</v>
      </c>
      <c r="F4" s="7" t="s">
        <v>127</v>
      </c>
      <c r="G4" s="7" t="s">
        <v>128</v>
      </c>
      <c r="H4" s="7" t="s">
        <v>129</v>
      </c>
      <c r="I4" s="7" t="s">
        <v>130</v>
      </c>
      <c r="J4" s="7" t="s">
        <v>131</v>
      </c>
      <c r="K4" s="7" t="s">
        <v>132</v>
      </c>
      <c r="L4" s="7" t="s">
        <v>86</v>
      </c>
    </row>
    <row r="5" customFormat="false" ht="15" hidden="false" customHeight="false" outlineLevel="0" collapsed="false">
      <c r="A5" s="8" t="s">
        <v>133</v>
      </c>
      <c r="B5" s="8" t="s">
        <v>134</v>
      </c>
      <c r="C5" s="8" t="s">
        <v>135</v>
      </c>
      <c r="D5" s="9" t="n">
        <v>300</v>
      </c>
      <c r="E5" s="9" t="n">
        <v>270</v>
      </c>
      <c r="F5" s="16" t="n">
        <v>0.18</v>
      </c>
      <c r="G5" s="8" t="s">
        <v>136</v>
      </c>
      <c r="H5" s="15" t="n">
        <f aca="false">D5*E5</f>
        <v>81000</v>
      </c>
      <c r="I5" s="15" t="n">
        <f aca="false">IF(G5="Yes",ROUND(H5*F5,2),0)</f>
        <v>0</v>
      </c>
      <c r="J5" s="15" t="n">
        <f aca="false">IF(G5="Yes",0,ROUND(H5*F5/2,2))</f>
        <v>7290</v>
      </c>
      <c r="K5" s="15" t="n">
        <f aca="false">J5</f>
        <v>7290</v>
      </c>
      <c r="L5" s="15" t="n">
        <f aca="false">H5+I5+J5+K5</f>
        <v>95580</v>
      </c>
    </row>
    <row r="6" customFormat="false" ht="15" hidden="false" customHeight="false" outlineLevel="0" collapsed="false">
      <c r="A6" s="8" t="s">
        <v>133</v>
      </c>
      <c r="B6" s="8" t="s">
        <v>134</v>
      </c>
      <c r="C6" s="8" t="s">
        <v>137</v>
      </c>
      <c r="D6" s="9" t="n">
        <v>100</v>
      </c>
      <c r="E6" s="9" t="n">
        <v>80</v>
      </c>
      <c r="F6" s="16" t="n">
        <v>0.18</v>
      </c>
      <c r="G6" s="8" t="s">
        <v>136</v>
      </c>
      <c r="H6" s="15" t="n">
        <f aca="false">D6*E6</f>
        <v>8000</v>
      </c>
      <c r="I6" s="15" t="n">
        <f aca="false">IF(G6="Yes",ROUND(H6*F6,2),0)</f>
        <v>0</v>
      </c>
      <c r="J6" s="15" t="n">
        <f aca="false">IF(G6="Yes",0,ROUND(H6*F6/2,2))</f>
        <v>720</v>
      </c>
      <c r="K6" s="15" t="n">
        <f aca="false">J6</f>
        <v>720</v>
      </c>
      <c r="L6" s="15" t="n">
        <f aca="false">H6+I6+J6+K6</f>
        <v>9440</v>
      </c>
    </row>
    <row r="7" customFormat="false" ht="15" hidden="false" customHeight="false" outlineLevel="0" collapsed="false">
      <c r="A7" s="8" t="s">
        <v>133</v>
      </c>
      <c r="B7" s="8" t="s">
        <v>134</v>
      </c>
      <c r="C7" s="8" t="s">
        <v>138</v>
      </c>
      <c r="D7" s="9" t="n">
        <v>500</v>
      </c>
      <c r="E7" s="9" t="n">
        <v>25</v>
      </c>
      <c r="F7" s="16" t="n">
        <v>0</v>
      </c>
      <c r="G7" s="8" t="s">
        <v>136</v>
      </c>
      <c r="H7" s="15" t="n">
        <f aca="false">D7*E7</f>
        <v>12500</v>
      </c>
      <c r="I7" s="15" t="n">
        <f aca="false">IF(G7="Yes",ROUND(H7*F7,2),0)</f>
        <v>0</v>
      </c>
      <c r="J7" s="15" t="n">
        <f aca="false">IF(G7="Yes",0,ROUND(H7*F7/2,2))</f>
        <v>0</v>
      </c>
      <c r="K7" s="15" t="n">
        <f aca="false">J7</f>
        <v>0</v>
      </c>
      <c r="L7" s="15" t="n">
        <f aca="false">H7+I7+J7+K7</f>
        <v>12500</v>
      </c>
    </row>
    <row r="8" customFormat="false" ht="15" hidden="false" customHeight="false" outlineLevel="0" collapsed="false">
      <c r="A8" s="8" t="s">
        <v>139</v>
      </c>
      <c r="B8" s="8" t="s">
        <v>140</v>
      </c>
      <c r="C8" s="8" t="s">
        <v>138</v>
      </c>
      <c r="D8" s="9" t="n">
        <v>300</v>
      </c>
      <c r="E8" s="9" t="n">
        <v>34</v>
      </c>
      <c r="F8" s="16" t="n">
        <v>0</v>
      </c>
      <c r="G8" s="8" t="s">
        <v>136</v>
      </c>
      <c r="H8" s="15" t="n">
        <f aca="false">D8*E8</f>
        <v>10200</v>
      </c>
      <c r="I8" s="15" t="n">
        <f aca="false">IF(G8="Yes",ROUND(H8*F8,2),0)</f>
        <v>0</v>
      </c>
      <c r="J8" s="15" t="n">
        <f aca="false">IF(G8="Yes",0,ROUND(H8*F8/2,2))</f>
        <v>0</v>
      </c>
      <c r="K8" s="15" t="n">
        <f aca="false">J8</f>
        <v>0</v>
      </c>
      <c r="L8" s="15" t="n">
        <f aca="false">H8+I8+J8+K8</f>
        <v>10200</v>
      </c>
    </row>
    <row r="9" customFormat="false" ht="15" hidden="false" customHeight="false" outlineLevel="0" collapsed="false">
      <c r="A9" s="8" t="s">
        <v>139</v>
      </c>
      <c r="B9" s="8" t="s">
        <v>140</v>
      </c>
      <c r="C9" s="8" t="s">
        <v>135</v>
      </c>
      <c r="D9" s="9" t="n">
        <v>100</v>
      </c>
      <c r="E9" s="9" t="n">
        <v>310</v>
      </c>
      <c r="F9" s="16" t="n">
        <v>0.18</v>
      </c>
      <c r="G9" s="8" t="s">
        <v>136</v>
      </c>
      <c r="H9" s="15" t="n">
        <f aca="false">D9*E9</f>
        <v>31000</v>
      </c>
      <c r="I9" s="15" t="n">
        <f aca="false">IF(G9="Yes",ROUND(H9*F9,2),0)</f>
        <v>0</v>
      </c>
      <c r="J9" s="15" t="n">
        <f aca="false">IF(G9="Yes",0,ROUND(H9*F9/2,2))</f>
        <v>2790</v>
      </c>
      <c r="K9" s="15" t="n">
        <f aca="false">J9</f>
        <v>2790</v>
      </c>
      <c r="L9" s="15" t="n">
        <f aca="false">H9+I9+J9+K9</f>
        <v>36580</v>
      </c>
    </row>
    <row r="10" customFormat="false" ht="15" hidden="false" customHeight="false" outlineLevel="0" collapsed="false">
      <c r="A10" s="8" t="s">
        <v>141</v>
      </c>
      <c r="B10" s="8" t="s">
        <v>140</v>
      </c>
      <c r="C10" s="8" t="s">
        <v>135</v>
      </c>
      <c r="D10" s="9" t="n">
        <v>150</v>
      </c>
      <c r="E10" s="9" t="n">
        <v>300</v>
      </c>
      <c r="F10" s="16" t="n">
        <v>0.18</v>
      </c>
      <c r="G10" s="8" t="s">
        <v>142</v>
      </c>
      <c r="H10" s="15" t="n">
        <f aca="false">D10*E10</f>
        <v>45000</v>
      </c>
      <c r="I10" s="15" t="n">
        <f aca="false">IF(G10="Yes",ROUND(H10*F10,2),0)</f>
        <v>8100</v>
      </c>
      <c r="J10" s="15" t="n">
        <f aca="false">IF(G10="Yes",0,ROUND(H10*F10/2,2))</f>
        <v>0</v>
      </c>
      <c r="K10" s="15" t="n">
        <f aca="false">J10</f>
        <v>0</v>
      </c>
      <c r="L10" s="15" t="n">
        <f aca="false">H10+I10+J10+K10</f>
        <v>53100</v>
      </c>
    </row>
    <row r="11" customFormat="false" ht="15" hidden="false" customHeight="false" outlineLevel="0" collapsed="false">
      <c r="A11" s="8" t="s">
        <v>141</v>
      </c>
      <c r="B11" s="8" t="s">
        <v>140</v>
      </c>
      <c r="C11" s="8" t="s">
        <v>137</v>
      </c>
      <c r="D11" s="9" t="n">
        <v>40</v>
      </c>
      <c r="E11" s="9" t="n">
        <v>115</v>
      </c>
      <c r="F11" s="16" t="n">
        <v>0.18</v>
      </c>
      <c r="G11" s="8" t="s">
        <v>142</v>
      </c>
      <c r="H11" s="15" t="n">
        <f aca="false">D11*E11</f>
        <v>4600</v>
      </c>
      <c r="I11" s="15" t="n">
        <f aca="false">IF(G11="Yes",ROUND(H11*F11,2),0)</f>
        <v>828</v>
      </c>
      <c r="J11" s="15" t="n">
        <f aca="false">IF(G11="Yes",0,ROUND(H11*F11/2,2))</f>
        <v>0</v>
      </c>
      <c r="K11" s="15" t="n">
        <f aca="false">J11</f>
        <v>0</v>
      </c>
      <c r="L11" s="15" t="n">
        <f aca="false">H11+I11+J11+K11</f>
        <v>5428</v>
      </c>
    </row>
    <row r="12" customFormat="false" ht="15" hidden="false" customHeight="false" outlineLevel="0" collapsed="false">
      <c r="A12" s="8" t="s">
        <v>143</v>
      </c>
      <c r="B12" s="8" t="s">
        <v>140</v>
      </c>
      <c r="C12" s="8" t="s">
        <v>135</v>
      </c>
      <c r="D12" s="9" t="n">
        <v>30</v>
      </c>
      <c r="E12" s="9" t="n">
        <v>320</v>
      </c>
      <c r="F12" s="16" t="n">
        <v>0.18</v>
      </c>
      <c r="G12" s="8" t="s">
        <v>136</v>
      </c>
      <c r="H12" s="15" t="n">
        <f aca="false">D12*E12</f>
        <v>9600</v>
      </c>
      <c r="I12" s="15" t="n">
        <f aca="false">IF(G12="Yes",ROUND(H12*F12,2),0)</f>
        <v>0</v>
      </c>
      <c r="J12" s="15" t="n">
        <f aca="false">IF(G12="Yes",0,ROUND(H12*F12/2,2))</f>
        <v>864</v>
      </c>
      <c r="K12" s="15" t="n">
        <f aca="false">J12</f>
        <v>864</v>
      </c>
      <c r="L12" s="15" t="n">
        <f aca="false">H12+I12+J12+K12</f>
        <v>11328</v>
      </c>
    </row>
    <row r="13" customFormat="false" ht="15" hidden="false" customHeight="false" outlineLevel="0" collapsed="false">
      <c r="A13" s="8" t="s">
        <v>143</v>
      </c>
      <c r="B13" s="8" t="s">
        <v>140</v>
      </c>
      <c r="C13" s="8" t="s">
        <v>137</v>
      </c>
      <c r="D13" s="9" t="n">
        <v>20</v>
      </c>
      <c r="E13" s="9" t="n">
        <v>120</v>
      </c>
      <c r="F13" s="16" t="n">
        <v>0.18</v>
      </c>
      <c r="G13" s="8" t="s">
        <v>136</v>
      </c>
      <c r="H13" s="15" t="n">
        <f aca="false">D13*E13</f>
        <v>2400</v>
      </c>
      <c r="I13" s="15" t="n">
        <f aca="false">IF(G13="Yes",ROUND(H13*F13,2),0)</f>
        <v>0</v>
      </c>
      <c r="J13" s="15" t="n">
        <f aca="false">IF(G13="Yes",0,ROUND(H13*F13/2,2))</f>
        <v>216</v>
      </c>
      <c r="K13" s="15" t="n">
        <f aca="false">J13</f>
        <v>216</v>
      </c>
      <c r="L13" s="15" t="n">
        <f aca="false">H13+I13+J13+K13</f>
        <v>2832</v>
      </c>
    </row>
    <row r="15" customFormat="false" ht="15" hidden="false" customHeight="false" outlineLevel="0" collapsed="false">
      <c r="A15" s="10" t="s">
        <v>144</v>
      </c>
      <c r="F15" s="16" t="n">
        <v>0.18</v>
      </c>
      <c r="H15" s="17" t="n">
        <v>10000</v>
      </c>
      <c r="J15" s="15" t="n">
        <f aca="false">ROUND(H15*F15/2,2)</f>
        <v>900</v>
      </c>
      <c r="K15" s="15" t="n">
        <f aca="false">J15</f>
        <v>900</v>
      </c>
    </row>
    <row r="17" customFormat="false" ht="15" hidden="false" customHeight="false" outlineLevel="0" collapsed="false">
      <c r="A17" s="7"/>
      <c r="B17" s="7" t="s">
        <v>130</v>
      </c>
      <c r="C17" s="7" t="s">
        <v>131</v>
      </c>
      <c r="D17" s="7" t="s">
        <v>132</v>
      </c>
    </row>
    <row r="18" customFormat="false" ht="15" hidden="false" customHeight="false" outlineLevel="0" collapsed="false">
      <c r="A18" s="10" t="s">
        <v>145</v>
      </c>
      <c r="B18" s="15" t="n">
        <f aca="false">SUMIF($B$5:$B$13,"Sale",I$5:I$13)</f>
        <v>8928</v>
      </c>
      <c r="C18" s="15" t="n">
        <f aca="false">SUMIF($B$5:$B$13,"Sale",J$5:J$13)</f>
        <v>3870</v>
      </c>
      <c r="D18" s="15" t="n">
        <f aca="false">SUMIF($B$5:$B$13,"Sale",K$5:K$13)</f>
        <v>3870</v>
      </c>
    </row>
    <row r="19" customFormat="false" ht="15" hidden="false" customHeight="false" outlineLevel="0" collapsed="false">
      <c r="A19" s="10" t="s">
        <v>146</v>
      </c>
      <c r="B19" s="15" t="n">
        <f aca="false">SUMIF($B$5:$B$13,"Purchase",I$5:I$13)</f>
        <v>0</v>
      </c>
      <c r="C19" s="15" t="n">
        <f aca="false">SUMIF($B$5:$B$13,"Purchase",J$5:J$13)+J15</f>
        <v>8910</v>
      </c>
      <c r="D19" s="15" t="n">
        <f aca="false">SUMIF($B$5:$B$13,"Purchase",K$5:K$13)+K15</f>
        <v>8910</v>
      </c>
    </row>
    <row r="21" customFormat="false" ht="15" hidden="false" customHeight="false" outlineLevel="0" collapsed="false">
      <c r="A21" s="12" t="s">
        <v>147</v>
      </c>
      <c r="B21" s="15" t="n">
        <f aca="false">MAX(0,B18-B19)</f>
        <v>8928</v>
      </c>
    </row>
    <row r="22" customFormat="false" ht="15" hidden="false" customHeight="false" outlineLevel="0" collapsed="false">
      <c r="A22" s="12" t="s">
        <v>148</v>
      </c>
      <c r="B22" s="15" t="n">
        <f aca="false">MAX(0,B19-B18)</f>
        <v>0</v>
      </c>
    </row>
    <row r="23" customFormat="false" ht="15" hidden="false" customHeight="false" outlineLevel="0" collapsed="false">
      <c r="A23" s="12" t="s">
        <v>149</v>
      </c>
      <c r="B23" s="15" t="n">
        <f aca="false">MAX(0,C18-C19)</f>
        <v>0</v>
      </c>
    </row>
    <row r="24" customFormat="false" ht="15" hidden="false" customHeight="false" outlineLevel="0" collapsed="false">
      <c r="A24" s="12" t="s">
        <v>150</v>
      </c>
      <c r="B24" s="15" t="n">
        <f aca="false">MAX(0,D18-D19)</f>
        <v>0</v>
      </c>
    </row>
    <row r="25" customFormat="false" ht="15" hidden="false" customHeight="false" outlineLevel="0" collapsed="false">
      <c r="A25" s="12" t="s">
        <v>151</v>
      </c>
      <c r="B25" s="15" t="n">
        <f aca="false">MIN(B23,B22)</f>
        <v>0</v>
      </c>
    </row>
    <row r="26" customFormat="false" ht="15" hidden="false" customHeight="false" outlineLevel="0" collapsed="false">
      <c r="A26" s="12" t="s">
        <v>152</v>
      </c>
      <c r="B26" s="15" t="n">
        <f aca="false">MIN(B24,B22-B25)</f>
        <v>0</v>
      </c>
    </row>
    <row r="27" customFormat="false" ht="15" hidden="false" customHeight="false" outlineLevel="0" collapsed="false">
      <c r="A27" s="12" t="s">
        <v>153</v>
      </c>
      <c r="B27" s="15" t="n">
        <f aca="false">MAX(0,C19-C18)</f>
        <v>5040</v>
      </c>
    </row>
    <row r="28" customFormat="false" ht="15" hidden="false" customHeight="false" outlineLevel="0" collapsed="false">
      <c r="A28" s="12" t="s">
        <v>154</v>
      </c>
      <c r="B28" s="15" t="n">
        <f aca="false">MAX(0,D19-D18)</f>
        <v>5040</v>
      </c>
    </row>
    <row r="29" customFormat="false" ht="15" hidden="false" customHeight="false" outlineLevel="0" collapsed="false">
      <c r="A29" s="12" t="s">
        <v>155</v>
      </c>
      <c r="B29" s="15" t="n">
        <f aca="false">MIN(B27,B21)</f>
        <v>5040</v>
      </c>
    </row>
    <row r="30" customFormat="false" ht="15" hidden="false" customHeight="false" outlineLevel="0" collapsed="false">
      <c r="A30" s="12" t="s">
        <v>156</v>
      </c>
      <c r="B30" s="15" t="n">
        <f aca="false">MIN(B28,B21-B29)</f>
        <v>3888</v>
      </c>
    </row>
    <row r="31" customFormat="false" ht="15" hidden="false" customHeight="false" outlineLevel="0" collapsed="false">
      <c r="A31" s="12" t="s">
        <v>157</v>
      </c>
      <c r="B31" s="15" t="n">
        <f aca="false">B21-B29-B30</f>
        <v>0</v>
      </c>
    </row>
    <row r="32" customFormat="false" ht="15" hidden="false" customHeight="false" outlineLevel="0" collapsed="false">
      <c r="A32" s="12" t="s">
        <v>158</v>
      </c>
      <c r="B32" s="15" t="n">
        <f aca="false">B23-B25</f>
        <v>0</v>
      </c>
    </row>
    <row r="33" customFormat="false" ht="15" hidden="false" customHeight="false" outlineLevel="0" collapsed="false">
      <c r="A33" s="12" t="s">
        <v>159</v>
      </c>
      <c r="B33" s="15" t="n">
        <f aca="false">B24-B26</f>
        <v>0</v>
      </c>
    </row>
    <row r="34" customFormat="false" ht="15" hidden="false" customHeight="false" outlineLevel="0" collapsed="false">
      <c r="A34" s="12" t="s">
        <v>160</v>
      </c>
      <c r="B34" s="15" t="n">
        <f aca="false">J15+K15</f>
        <v>1800</v>
      </c>
    </row>
    <row r="35" customFormat="false" ht="15" hidden="false" customHeight="false" outlineLevel="0" collapsed="false">
      <c r="A35" s="10" t="s">
        <v>161</v>
      </c>
      <c r="B35" s="18" t="n">
        <f aca="false">B31+B32+B33+B34</f>
        <v>1800</v>
      </c>
    </row>
    <row r="36" customFormat="false" ht="15" hidden="false" customHeight="false" outlineLevel="0" collapsed="false">
      <c r="A36" s="12" t="s">
        <v>162</v>
      </c>
      <c r="B36" s="15" t="n">
        <f aca="false">B28-B30</f>
        <v>1152</v>
      </c>
    </row>
    <row r="37" customFormat="false" ht="15" hidden="false" customHeight="false" outlineLevel="0" collapsed="false">
      <c r="A37" s="12" t="s">
        <v>163</v>
      </c>
      <c r="B37" s="15" t="n">
        <f aca="false">B27-B29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1" t="s">
        <v>164</v>
      </c>
    </row>
    <row r="2" customFormat="false" ht="15" hidden="false" customHeight="false" outlineLevel="0" collapsed="false">
      <c r="A2" s="6" t="s">
        <v>165</v>
      </c>
    </row>
    <row r="5" customFormat="false" ht="15" hidden="false" customHeight="false" outlineLevel="0" collapsed="false">
      <c r="A5" s="12" t="s">
        <v>166</v>
      </c>
      <c r="B5" s="9" t="n">
        <v>48250</v>
      </c>
    </row>
    <row r="6" customFormat="false" ht="15" hidden="false" customHeight="false" outlineLevel="0" collapsed="false">
      <c r="A6" s="12" t="s">
        <v>167</v>
      </c>
      <c r="B6" s="9" t="n">
        <v>118</v>
      </c>
    </row>
    <row r="7" customFormat="false" ht="15" hidden="false" customHeight="false" outlineLevel="0" collapsed="false">
      <c r="A7" s="12" t="s">
        <v>168</v>
      </c>
      <c r="B7" s="9" t="n">
        <v>3268</v>
      </c>
    </row>
    <row r="8" customFormat="false" ht="15" hidden="false" customHeight="false" outlineLevel="0" collapsed="false">
      <c r="A8" s="10" t="s">
        <v>169</v>
      </c>
      <c r="B8" s="11" t="n">
        <f aca="false">B5-B6+B7</f>
        <v>51400</v>
      </c>
    </row>
    <row r="9" customFormat="false" ht="15" hidden="false" customHeight="false" outlineLevel="0" collapsed="false">
      <c r="A9" s="12" t="s">
        <v>170</v>
      </c>
      <c r="B9" s="9" t="n">
        <v>12400</v>
      </c>
    </row>
    <row r="10" customFormat="false" ht="15" hidden="false" customHeight="false" outlineLevel="0" collapsed="false">
      <c r="A10" s="12" t="s">
        <v>171</v>
      </c>
      <c r="B10" s="9" t="n">
        <v>9500</v>
      </c>
    </row>
    <row r="11" customFormat="false" ht="15" hidden="false" customHeight="false" outlineLevel="0" collapsed="false">
      <c r="A11" s="10" t="s">
        <v>172</v>
      </c>
      <c r="B11" s="11" t="n">
        <f aca="false">B8+B9-B10</f>
        <v>54300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6" min="3" style="0" width="12"/>
    <col collapsed="false" customWidth="true" hidden="false" outlineLevel="0" max="8" min="7" style="0" width="11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20"/>
  </cols>
  <sheetData>
    <row r="1" customFormat="false" ht="17.35" hidden="false" customHeight="false" outlineLevel="0" collapsed="false">
      <c r="A1" s="1" t="s">
        <v>173</v>
      </c>
    </row>
    <row r="2" customFormat="false" ht="15" hidden="false" customHeight="false" outlineLevel="0" collapsed="false">
      <c r="A2" s="6" t="s">
        <v>174</v>
      </c>
    </row>
    <row r="4" customFormat="false" ht="15" hidden="false" customHeight="false" outlineLevel="0" collapsed="false">
      <c r="A4" s="10" t="s">
        <v>175</v>
      </c>
      <c r="B4" s="19" t="n">
        <v>46295</v>
      </c>
      <c r="D4" s="10" t="s">
        <v>176</v>
      </c>
      <c r="E4" s="16" t="n">
        <v>0.18</v>
      </c>
    </row>
    <row r="6" customFormat="false" ht="26.85" hidden="false" customHeight="false" outlineLevel="0" collapsed="false">
      <c r="A6" s="7" t="s">
        <v>177</v>
      </c>
      <c r="B6" s="7" t="s">
        <v>178</v>
      </c>
      <c r="C6" s="7" t="s">
        <v>179</v>
      </c>
      <c r="D6" s="7" t="s">
        <v>180</v>
      </c>
      <c r="E6" s="7" t="s">
        <v>181</v>
      </c>
      <c r="F6" s="7" t="s">
        <v>182</v>
      </c>
      <c r="G6" s="7" t="s">
        <v>183</v>
      </c>
      <c r="H6" s="7" t="s">
        <v>184</v>
      </c>
      <c r="I6" s="7" t="s">
        <v>185</v>
      </c>
      <c r="J6" s="7" t="s">
        <v>186</v>
      </c>
      <c r="K6" s="7" t="s">
        <v>187</v>
      </c>
    </row>
    <row r="7" customFormat="false" ht="15" hidden="false" customHeight="false" outlineLevel="0" collapsed="false">
      <c r="A7" s="8" t="s">
        <v>53</v>
      </c>
      <c r="B7" s="8" t="s">
        <v>139</v>
      </c>
      <c r="C7" s="19" t="n">
        <v>46181</v>
      </c>
      <c r="D7" s="9" t="n">
        <v>46780</v>
      </c>
      <c r="E7" s="9" t="n">
        <v>46780</v>
      </c>
      <c r="F7" s="13" t="n">
        <f aca="false">D7-E7</f>
        <v>0</v>
      </c>
      <c r="G7" s="9" t="n">
        <v>30</v>
      </c>
      <c r="H7" s="13" t="n">
        <f aca="false">$B$4-C7</f>
        <v>114</v>
      </c>
      <c r="I7" s="13" t="n">
        <f aca="false">MAX(0,H7-G7)</f>
        <v>84</v>
      </c>
      <c r="J7" s="12" t="str">
        <f aca="false">IF(F7=0,"Settled",IF(H7&lt;=30,"0-30",IF(H7&lt;=60,"31-60",IF(H7&lt;=90,"61-90","90+"))))</f>
        <v>Settled</v>
      </c>
      <c r="K7" s="15" t="n">
        <f aca="false">ROUND(F7*$E$4*I7/365,2)</f>
        <v>0</v>
      </c>
    </row>
    <row r="8" customFormat="false" ht="15" hidden="false" customHeight="false" outlineLevel="0" collapsed="false">
      <c r="A8" s="8" t="s">
        <v>188</v>
      </c>
      <c r="B8" s="8" t="s">
        <v>141</v>
      </c>
      <c r="C8" s="19" t="n">
        <v>46185</v>
      </c>
      <c r="D8" s="9" t="n">
        <v>58528</v>
      </c>
      <c r="E8" s="9" t="n">
        <v>30000</v>
      </c>
      <c r="F8" s="13" t="n">
        <f aca="false">D8-E8</f>
        <v>28528</v>
      </c>
      <c r="G8" s="9" t="n">
        <v>30</v>
      </c>
      <c r="H8" s="13" t="n">
        <f aca="false">$B$4-C8</f>
        <v>110</v>
      </c>
      <c r="I8" s="13" t="n">
        <f aca="false">MAX(0,H8-G8)</f>
        <v>80</v>
      </c>
      <c r="J8" s="12" t="str">
        <f aca="false">IF(F8=0,"Settled",IF(H8&lt;=30,"0-30",IF(H8&lt;=60,"31-60",IF(H8&lt;=90,"61-90","90+"))))</f>
        <v>90+</v>
      </c>
      <c r="K8" s="15" t="n">
        <f aca="false">ROUND(F8*$E$4*I8/365,2)</f>
        <v>1125.49</v>
      </c>
    </row>
    <row r="9" customFormat="false" ht="15" hidden="false" customHeight="false" outlineLevel="0" collapsed="false">
      <c r="A9" s="8" t="s">
        <v>189</v>
      </c>
      <c r="B9" s="8" t="s">
        <v>190</v>
      </c>
      <c r="C9" s="19" t="n">
        <v>46223</v>
      </c>
      <c r="D9" s="9" t="n">
        <v>32450</v>
      </c>
      <c r="E9" s="9" t="n">
        <v>0</v>
      </c>
      <c r="F9" s="13" t="n">
        <f aca="false">D9-E9</f>
        <v>32450</v>
      </c>
      <c r="G9" s="9" t="n">
        <v>45</v>
      </c>
      <c r="H9" s="13" t="n">
        <f aca="false">$B$4-C9</f>
        <v>72</v>
      </c>
      <c r="I9" s="13" t="n">
        <f aca="false">MAX(0,H9-G9)</f>
        <v>27</v>
      </c>
      <c r="J9" s="12" t="str">
        <f aca="false">IF(F9=0,"Settled",IF(H9&lt;=30,"0-30",IF(H9&lt;=60,"31-60",IF(H9&lt;=90,"61-90","90+"))))</f>
        <v>61-90</v>
      </c>
      <c r="K9" s="15" t="n">
        <f aca="false">ROUND(F9*$E$4*I9/365,2)</f>
        <v>432.07</v>
      </c>
    </row>
    <row r="10" customFormat="false" ht="15" hidden="false" customHeight="false" outlineLevel="0" collapsed="false">
      <c r="A10" s="8" t="s">
        <v>53</v>
      </c>
      <c r="B10" s="8" t="s">
        <v>191</v>
      </c>
      <c r="C10" s="19" t="n">
        <v>46250</v>
      </c>
      <c r="D10" s="9" t="n">
        <v>50000</v>
      </c>
      <c r="E10" s="9" t="n">
        <v>0</v>
      </c>
      <c r="F10" s="13" t="n">
        <f aca="false">D10-E10</f>
        <v>50000</v>
      </c>
      <c r="G10" s="9" t="n">
        <v>30</v>
      </c>
      <c r="H10" s="13" t="n">
        <f aca="false">$B$4-C10</f>
        <v>45</v>
      </c>
      <c r="I10" s="13" t="n">
        <f aca="false">MAX(0,H10-G10)</f>
        <v>15</v>
      </c>
      <c r="J10" s="12" t="str">
        <f aca="false">IF(F10=0,"Settled",IF(H10&lt;=30,"0-30",IF(H10&lt;=60,"31-60",IF(H10&lt;=90,"61-90","90+"))))</f>
        <v>31-60</v>
      </c>
      <c r="K10" s="15" t="n">
        <f aca="false">ROUND(F10*$E$4*I10/365,2)</f>
        <v>369.86</v>
      </c>
    </row>
    <row r="11" customFormat="false" ht="15" hidden="false" customHeight="false" outlineLevel="0" collapsed="false">
      <c r="A11" s="8" t="s">
        <v>192</v>
      </c>
      <c r="B11" s="8" t="s">
        <v>193</v>
      </c>
      <c r="C11" s="19" t="n">
        <v>46270</v>
      </c>
      <c r="D11" s="9" t="n">
        <v>38873</v>
      </c>
      <c r="E11" s="9" t="n">
        <v>10000</v>
      </c>
      <c r="F11" s="13" t="n">
        <f aca="false">D11-E11</f>
        <v>28873</v>
      </c>
      <c r="G11" s="9" t="n">
        <v>30</v>
      </c>
      <c r="H11" s="13" t="n">
        <f aca="false">$B$4-C11</f>
        <v>25</v>
      </c>
      <c r="I11" s="13" t="n">
        <f aca="false">MAX(0,H11-G11)</f>
        <v>0</v>
      </c>
      <c r="J11" s="12" t="str">
        <f aca="false">IF(F11=0,"Settled",IF(H11&lt;=30,"0-30",IF(H11&lt;=60,"31-60",IF(H11&lt;=90,"61-90","90+"))))</f>
        <v>0-30</v>
      </c>
      <c r="K11" s="15" t="n">
        <f aca="false">ROUND(F11*$E$4*I11/365,2)</f>
        <v>0</v>
      </c>
    </row>
    <row r="12" customFormat="false" ht="15" hidden="false" customHeight="false" outlineLevel="0" collapsed="false">
      <c r="A12" s="8" t="s">
        <v>194</v>
      </c>
      <c r="B12" s="8" t="s">
        <v>195</v>
      </c>
      <c r="C12" s="19" t="n">
        <v>46287</v>
      </c>
      <c r="D12" s="9" t="n">
        <v>5900</v>
      </c>
      <c r="E12" s="9" t="n">
        <v>0</v>
      </c>
      <c r="F12" s="13" t="n">
        <f aca="false">D12-E12</f>
        <v>5900</v>
      </c>
      <c r="G12" s="9" t="n">
        <v>15</v>
      </c>
      <c r="H12" s="13" t="n">
        <f aca="false">$B$4-C12</f>
        <v>8</v>
      </c>
      <c r="I12" s="13" t="n">
        <f aca="false">MAX(0,H12-G12)</f>
        <v>0</v>
      </c>
      <c r="J12" s="12" t="str">
        <f aca="false">IF(F12=0,"Settled",IF(H12&lt;=30,"0-30",IF(H12&lt;=60,"31-60",IF(H12&lt;=90,"61-90","90+"))))</f>
        <v>0-30</v>
      </c>
      <c r="K12" s="15" t="n">
        <f aca="false">ROUND(F12*$E$4*I12/365,2)</f>
        <v>0</v>
      </c>
    </row>
    <row r="14" customFormat="false" ht="15" hidden="false" customHeight="false" outlineLevel="0" collapsed="false">
      <c r="A14" s="7" t="s">
        <v>186</v>
      </c>
      <c r="B14" s="7" t="s">
        <v>196</v>
      </c>
    </row>
    <row r="15" customFormat="false" ht="15" hidden="false" customHeight="false" outlineLevel="0" collapsed="false">
      <c r="A15" s="12" t="s">
        <v>197</v>
      </c>
      <c r="B15" s="13" t="n">
        <f aca="false">SUMIF($J$7:$J$12,A15,$F$7:$F$12)</f>
        <v>34773</v>
      </c>
    </row>
    <row r="16" customFormat="false" ht="15" hidden="false" customHeight="false" outlineLevel="0" collapsed="false">
      <c r="A16" s="12" t="s">
        <v>198</v>
      </c>
      <c r="B16" s="13" t="n">
        <f aca="false">SUMIF($J$7:$J$12,A16,$F$7:$F$12)</f>
        <v>50000</v>
      </c>
    </row>
    <row r="17" customFormat="false" ht="15" hidden="false" customHeight="false" outlineLevel="0" collapsed="false">
      <c r="A17" s="12" t="s">
        <v>199</v>
      </c>
      <c r="B17" s="13" t="n">
        <f aca="false">SUMIF($J$7:$J$12,A17,$F$7:$F$12)</f>
        <v>32450</v>
      </c>
    </row>
    <row r="18" customFormat="false" ht="15" hidden="false" customHeight="false" outlineLevel="0" collapsed="false">
      <c r="A18" s="12" t="s">
        <v>200</v>
      </c>
      <c r="B18" s="13" t="n">
        <f aca="false">SUMIF($J$7:$J$12,A18,$F$7:$F$12)</f>
        <v>28528</v>
      </c>
    </row>
    <row r="19" customFormat="false" ht="15" hidden="false" customHeight="false" outlineLevel="0" collapsed="false">
      <c r="A19" s="10" t="s">
        <v>86</v>
      </c>
      <c r="B19" s="11" t="n">
        <f aca="false">SUM(B15:B18)</f>
        <v>145751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0"/>
    <col collapsed="false" customWidth="true" hidden="false" outlineLevel="0" max="4" min="4" style="0" width="12"/>
    <col collapsed="false" customWidth="true" hidden="false" outlineLevel="0" max="6" min="5" style="0" width="10"/>
    <col collapsed="false" customWidth="true" hidden="false" outlineLevel="0" max="8" min="7" style="0" width="13"/>
    <col collapsed="false" customWidth="true" hidden="false" outlineLevel="0" max="9" min="9" style="0" width="11"/>
    <col collapsed="false" customWidth="true" hidden="false" outlineLevel="0" max="11" min="10" style="0" width="12"/>
  </cols>
  <sheetData>
    <row r="1" customFormat="false" ht="17.35" hidden="false" customHeight="false" outlineLevel="0" collapsed="false">
      <c r="A1" s="1" t="s">
        <v>201</v>
      </c>
    </row>
    <row r="2" customFormat="false" ht="15" hidden="false" customHeight="false" outlineLevel="0" collapsed="false">
      <c r="A2" s="6" t="s">
        <v>202</v>
      </c>
    </row>
    <row r="4" customFormat="false" ht="15" hidden="false" customHeight="false" outlineLevel="0" collapsed="false">
      <c r="A4" s="10" t="s">
        <v>203</v>
      </c>
      <c r="B4" s="9" t="n">
        <v>15000</v>
      </c>
      <c r="C4" s="10" t="s">
        <v>204</v>
      </c>
      <c r="D4" s="9" t="n">
        <v>21000</v>
      </c>
    </row>
    <row r="6" customFormat="false" ht="26.85" hidden="false" customHeight="false" outlineLevel="0" collapsed="false">
      <c r="A6" s="7" t="s">
        <v>205</v>
      </c>
      <c r="B6" s="7" t="s">
        <v>206</v>
      </c>
      <c r="C6" s="7" t="s">
        <v>207</v>
      </c>
      <c r="D6" s="7" t="s">
        <v>208</v>
      </c>
      <c r="E6" s="7" t="s">
        <v>209</v>
      </c>
      <c r="F6" s="7" t="s">
        <v>210</v>
      </c>
      <c r="G6" s="7" t="s">
        <v>211</v>
      </c>
      <c r="H6" s="7" t="s">
        <v>212</v>
      </c>
      <c r="I6" s="7" t="s">
        <v>213</v>
      </c>
      <c r="J6" s="7" t="s">
        <v>214</v>
      </c>
      <c r="K6" s="7" t="s">
        <v>215</v>
      </c>
    </row>
    <row r="7" customFormat="false" ht="15" hidden="false" customHeight="false" outlineLevel="0" collapsed="false">
      <c r="A7" s="8" t="s">
        <v>216</v>
      </c>
      <c r="B7" s="9" t="n">
        <v>12000</v>
      </c>
      <c r="C7" s="9" t="n">
        <v>4000</v>
      </c>
      <c r="D7" s="9" t="n">
        <v>1600</v>
      </c>
      <c r="E7" s="9" t="n">
        <v>800</v>
      </c>
      <c r="F7" s="13" t="n">
        <f aca="false">SUM(B7:E7)</f>
        <v>18400</v>
      </c>
      <c r="G7" s="13" t="n">
        <f aca="false">ROUND(MIN(B7,$B$4)*12%,0)</f>
        <v>1440</v>
      </c>
      <c r="H7" s="13" t="n">
        <f aca="false">IF(F7&lt;=$D$4,ROUNDUP(F7*0.75%,0),0)</f>
        <v>138</v>
      </c>
      <c r="I7" s="13" t="n">
        <f aca="false">F7-G7-H7</f>
        <v>16822</v>
      </c>
      <c r="J7" s="13" t="n">
        <f aca="false">G7</f>
        <v>1440</v>
      </c>
      <c r="K7" s="13" t="n">
        <f aca="false">IF(F7&lt;=$D$4,ROUNDUP(F7*3.25%,0),0)</f>
        <v>598</v>
      </c>
    </row>
    <row r="8" customFormat="false" ht="15" hidden="false" customHeight="false" outlineLevel="0" collapsed="false">
      <c r="A8" s="8" t="s">
        <v>217</v>
      </c>
      <c r="B8" s="9" t="n">
        <v>15000</v>
      </c>
      <c r="C8" s="9" t="n">
        <v>6000</v>
      </c>
      <c r="D8" s="9" t="n">
        <v>0</v>
      </c>
      <c r="E8" s="9" t="n">
        <v>5000</v>
      </c>
      <c r="F8" s="13" t="n">
        <f aca="false">SUM(B8:E8)</f>
        <v>26000</v>
      </c>
      <c r="G8" s="13" t="n">
        <f aca="false">ROUND(MIN(B8,$B$4)*12%,0)</f>
        <v>1800</v>
      </c>
      <c r="H8" s="13" t="n">
        <f aca="false">IF(F8&lt;=$D$4,ROUNDUP(F8*0.75%,0),0)</f>
        <v>0</v>
      </c>
      <c r="I8" s="13" t="n">
        <f aca="false">F8-G8-H8</f>
        <v>24200</v>
      </c>
      <c r="J8" s="13" t="n">
        <f aca="false">G8</f>
        <v>1800</v>
      </c>
      <c r="K8" s="13" t="n">
        <f aca="false">IF(F8&lt;=$D$4,ROUNDUP(F8*3.25%,0),0)</f>
        <v>0</v>
      </c>
    </row>
    <row r="9" customFormat="false" ht="15" hidden="false" customHeight="false" outlineLevel="0" collapsed="false">
      <c r="A9" s="10" t="s">
        <v>86</v>
      </c>
      <c r="F9" s="11" t="n">
        <f aca="false">SUM(F7:F8)</f>
        <v>44400</v>
      </c>
      <c r="G9" s="11" t="n">
        <f aca="false">SUM(G7:G8)</f>
        <v>3240</v>
      </c>
      <c r="H9" s="11" t="n">
        <f aca="false">SUM(H7:H8)</f>
        <v>138</v>
      </c>
      <c r="I9" s="11" t="n">
        <f aca="false">SUM(I7:I8)</f>
        <v>41022</v>
      </c>
      <c r="J9" s="11" t="n">
        <f aca="false">SUM(J7:J8)</f>
        <v>3240</v>
      </c>
      <c r="K9" s="11" t="n">
        <f aca="false">SUM(K7:K8)</f>
        <v>598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11" min="9" style="0" width="12"/>
    <col collapsed="false" customWidth="true" hidden="false" outlineLevel="0" max="12" min="12" style="0" width="14"/>
  </cols>
  <sheetData>
    <row r="1" customFormat="false" ht="17.35" hidden="false" customHeight="false" outlineLevel="0" collapsed="false">
      <c r="A1" s="1" t="s">
        <v>218</v>
      </c>
    </row>
    <row r="2" customFormat="false" ht="15" hidden="false" customHeight="false" outlineLevel="0" collapsed="false">
      <c r="A2" s="6" t="s">
        <v>219</v>
      </c>
    </row>
    <row r="4" customFormat="false" ht="15" hidden="false" customHeight="false" outlineLevel="0" collapsed="false">
      <c r="A4" s="4" t="s">
        <v>220</v>
      </c>
    </row>
    <row r="5" customFormat="false" ht="15" hidden="false" customHeight="false" outlineLevel="0" collapsed="false">
      <c r="A5" s="3" t="s">
        <v>221</v>
      </c>
    </row>
    <row r="6" customFormat="false" ht="15" hidden="false" customHeight="false" outlineLevel="0" collapsed="false">
      <c r="A6" s="3" t="s">
        <v>222</v>
      </c>
    </row>
    <row r="7" customFormat="false" ht="15" hidden="false" customHeight="false" outlineLevel="0" collapsed="false">
      <c r="A7" s="3" t="s">
        <v>223</v>
      </c>
    </row>
    <row r="8" customFormat="false" ht="15" hidden="false" customHeight="false" outlineLevel="0" collapsed="false">
      <c r="A8" s="3" t="s">
        <v>224</v>
      </c>
    </row>
    <row r="9" customFormat="false" ht="15" hidden="false" customHeight="false" outlineLevel="0" collapsed="false">
      <c r="A9" s="3" t="s">
        <v>225</v>
      </c>
    </row>
    <row r="10" customFormat="false" ht="15" hidden="false" customHeight="false" outlineLevel="0" collapsed="false">
      <c r="A10" s="3" t="s">
        <v>226</v>
      </c>
    </row>
    <row r="11" customFormat="false" ht="15" hidden="false" customHeight="false" outlineLevel="0" collapsed="false">
      <c r="A11" s="3" t="s">
        <v>227</v>
      </c>
    </row>
    <row r="12" customFormat="false" ht="15" hidden="false" customHeight="false" outlineLevel="0" collapsed="false">
      <c r="A12" s="3" t="s">
        <v>228</v>
      </c>
    </row>
    <row r="13" customFormat="false" ht="15" hidden="false" customHeight="false" outlineLevel="0" collapsed="false">
      <c r="A13" s="3" t="s">
        <v>229</v>
      </c>
    </row>
    <row r="15" customFormat="false" ht="15" hidden="false" customHeight="false" outlineLevel="0" collapsed="false">
      <c r="A15" s="7" t="s">
        <v>125</v>
      </c>
      <c r="B15" s="7" t="s">
        <v>230</v>
      </c>
      <c r="C15" s="7" t="s">
        <v>90</v>
      </c>
      <c r="D15" s="7" t="s">
        <v>103</v>
      </c>
      <c r="E15" s="7" t="s">
        <v>231</v>
      </c>
      <c r="F15" s="7" t="s">
        <v>127</v>
      </c>
      <c r="G15" s="7" t="s">
        <v>128</v>
      </c>
      <c r="H15" s="7" t="s">
        <v>232</v>
      </c>
      <c r="I15" s="7" t="s">
        <v>130</v>
      </c>
      <c r="J15" s="7" t="s">
        <v>131</v>
      </c>
      <c r="K15" s="7" t="s">
        <v>132</v>
      </c>
      <c r="L15" s="7" t="s">
        <v>86</v>
      </c>
    </row>
    <row r="16" customFormat="false" ht="15" hidden="false" customHeight="false" outlineLevel="0" collapsed="false">
      <c r="A16" s="8" t="s">
        <v>233</v>
      </c>
      <c r="B16" s="8" t="s">
        <v>134</v>
      </c>
      <c r="C16" s="8" t="s">
        <v>135</v>
      </c>
      <c r="D16" s="9" t="n">
        <v>300</v>
      </c>
      <c r="E16" s="9" t="n">
        <v>255</v>
      </c>
      <c r="F16" s="16" t="n">
        <v>0.18</v>
      </c>
      <c r="G16" s="8" t="s">
        <v>136</v>
      </c>
      <c r="H16" s="15" t="n">
        <f aca="false">D16*E16</f>
        <v>76500</v>
      </c>
      <c r="I16" s="15" t="n">
        <f aca="false">IF(G16="Yes",ROUND(H16*F16,2),0)</f>
        <v>0</v>
      </c>
      <c r="J16" s="15" t="n">
        <f aca="false">IF(G16="Yes",0,ROUND(H16*F16/2,2))</f>
        <v>6885</v>
      </c>
      <c r="K16" s="15" t="n">
        <f aca="false">J16</f>
        <v>6885</v>
      </c>
      <c r="L16" s="15" t="n">
        <f aca="false">H16+I16+J16+K16</f>
        <v>90270</v>
      </c>
    </row>
    <row r="17" customFormat="false" ht="15" hidden="false" customHeight="false" outlineLevel="0" collapsed="false">
      <c r="A17" s="8" t="s">
        <v>233</v>
      </c>
      <c r="B17" s="8" t="s">
        <v>134</v>
      </c>
      <c r="C17" s="8" t="s">
        <v>137</v>
      </c>
      <c r="D17" s="9" t="n">
        <v>200</v>
      </c>
      <c r="E17" s="9" t="n">
        <v>80</v>
      </c>
      <c r="F17" s="16" t="n">
        <v>0.18</v>
      </c>
      <c r="G17" s="8" t="s">
        <v>136</v>
      </c>
      <c r="H17" s="15" t="n">
        <f aca="false">D17*E17</f>
        <v>16000</v>
      </c>
      <c r="I17" s="15" t="n">
        <f aca="false">IF(G17="Yes",ROUND(H17*F17,2),0)</f>
        <v>0</v>
      </c>
      <c r="J17" s="15" t="n">
        <f aca="false">IF(G17="Yes",0,ROUND(H17*F17/2,2))</f>
        <v>1440</v>
      </c>
      <c r="K17" s="15" t="n">
        <f aca="false">J17</f>
        <v>1440</v>
      </c>
      <c r="L17" s="15" t="n">
        <f aca="false">H17+I17+J17+K17</f>
        <v>18880</v>
      </c>
    </row>
    <row r="18" customFormat="false" ht="15" hidden="false" customHeight="false" outlineLevel="0" collapsed="false">
      <c r="A18" s="8" t="s">
        <v>233</v>
      </c>
      <c r="B18" s="8" t="s">
        <v>134</v>
      </c>
      <c r="C18" s="8" t="s">
        <v>138</v>
      </c>
      <c r="D18" s="9" t="n">
        <v>600</v>
      </c>
      <c r="E18" s="9" t="n">
        <v>24</v>
      </c>
      <c r="F18" s="16" t="n">
        <v>0</v>
      </c>
      <c r="G18" s="8" t="s">
        <v>136</v>
      </c>
      <c r="H18" s="15" t="n">
        <f aca="false">D18*E18</f>
        <v>14400</v>
      </c>
      <c r="I18" s="15" t="n">
        <f aca="false">IF(G18="Yes",ROUND(H18*F18,2),0)</f>
        <v>0</v>
      </c>
      <c r="J18" s="15" t="n">
        <f aca="false">IF(G18="Yes",0,ROUND(H18*F18/2,2))</f>
        <v>0</v>
      </c>
      <c r="K18" s="15" t="n">
        <f aca="false">J18</f>
        <v>0</v>
      </c>
      <c r="L18" s="15" t="n">
        <f aca="false">H18+I18+J18+K18</f>
        <v>14400</v>
      </c>
    </row>
    <row r="19" customFormat="false" ht="15" hidden="false" customHeight="false" outlineLevel="0" collapsed="false">
      <c r="A19" s="8" t="s">
        <v>234</v>
      </c>
      <c r="B19" s="8" t="s">
        <v>140</v>
      </c>
      <c r="C19" s="8" t="s">
        <v>135</v>
      </c>
      <c r="D19" s="9" t="n">
        <v>250</v>
      </c>
      <c r="E19" s="9" t="n">
        <v>320</v>
      </c>
      <c r="F19" s="16" t="n">
        <v>0.18</v>
      </c>
      <c r="G19" s="8" t="s">
        <v>136</v>
      </c>
      <c r="H19" s="15" t="n">
        <f aca="false">D19*E19</f>
        <v>80000</v>
      </c>
      <c r="I19" s="15" t="n">
        <f aca="false">IF(G19="Yes",ROUND(H19*F19,2),0)</f>
        <v>0</v>
      </c>
      <c r="J19" s="15" t="n">
        <f aca="false">IF(G19="Yes",0,ROUND(H19*F19/2,2))</f>
        <v>7200</v>
      </c>
      <c r="K19" s="15" t="n">
        <f aca="false">J19</f>
        <v>7200</v>
      </c>
      <c r="L19" s="15" t="n">
        <f aca="false">H19+I19+J19+K19</f>
        <v>94400</v>
      </c>
    </row>
    <row r="20" customFormat="false" ht="15" hidden="false" customHeight="false" outlineLevel="0" collapsed="false">
      <c r="A20" s="8" t="s">
        <v>234</v>
      </c>
      <c r="B20" s="8" t="s">
        <v>140</v>
      </c>
      <c r="C20" s="8" t="s">
        <v>138</v>
      </c>
      <c r="D20" s="9" t="n">
        <v>500</v>
      </c>
      <c r="E20" s="9" t="n">
        <v>32</v>
      </c>
      <c r="F20" s="16" t="n">
        <v>0</v>
      </c>
      <c r="G20" s="8" t="s">
        <v>136</v>
      </c>
      <c r="H20" s="15" t="n">
        <f aca="false">D20*E20</f>
        <v>16000</v>
      </c>
      <c r="I20" s="15" t="n">
        <f aca="false">IF(G20="Yes",ROUND(H20*F20,2),0)</f>
        <v>0</v>
      </c>
      <c r="J20" s="15" t="n">
        <f aca="false">IF(G20="Yes",0,ROUND(H20*F20/2,2))</f>
        <v>0</v>
      </c>
      <c r="K20" s="15" t="n">
        <f aca="false">J20</f>
        <v>0</v>
      </c>
      <c r="L20" s="15" t="n">
        <f aca="false">H20+I20+J20+K20</f>
        <v>16000</v>
      </c>
    </row>
    <row r="21" customFormat="false" ht="15" hidden="false" customHeight="false" outlineLevel="0" collapsed="false">
      <c r="A21" s="8" t="s">
        <v>235</v>
      </c>
      <c r="B21" s="8" t="s">
        <v>140</v>
      </c>
      <c r="C21" s="8" t="s">
        <v>135</v>
      </c>
      <c r="D21" s="9" t="n">
        <v>150</v>
      </c>
      <c r="E21" s="9" t="n">
        <v>330</v>
      </c>
      <c r="F21" s="16" t="n">
        <v>0.18</v>
      </c>
      <c r="G21" s="8" t="s">
        <v>142</v>
      </c>
      <c r="H21" s="15" t="n">
        <f aca="false">D21*E21</f>
        <v>49500</v>
      </c>
      <c r="I21" s="15" t="n">
        <f aca="false">IF(G21="Yes",ROUND(H21*F21,2),0)</f>
        <v>8910</v>
      </c>
      <c r="J21" s="15" t="n">
        <f aca="false">IF(G21="Yes",0,ROUND(H21*F21/2,2))</f>
        <v>0</v>
      </c>
      <c r="K21" s="15" t="n">
        <f aca="false">J21</f>
        <v>0</v>
      </c>
      <c r="L21" s="15" t="n">
        <f aca="false">H21+I21+J21+K21</f>
        <v>58410</v>
      </c>
    </row>
    <row r="22" customFormat="false" ht="15" hidden="false" customHeight="false" outlineLevel="0" collapsed="false">
      <c r="A22" s="8" t="s">
        <v>235</v>
      </c>
      <c r="B22" s="8" t="s">
        <v>140</v>
      </c>
      <c r="C22" s="8" t="s">
        <v>137</v>
      </c>
      <c r="D22" s="9" t="n">
        <v>150</v>
      </c>
      <c r="E22" s="9" t="n">
        <v>125</v>
      </c>
      <c r="F22" s="16" t="n">
        <v>0.18</v>
      </c>
      <c r="G22" s="8" t="s">
        <v>142</v>
      </c>
      <c r="H22" s="15" t="n">
        <f aca="false">D22*E22</f>
        <v>18750</v>
      </c>
      <c r="I22" s="15" t="n">
        <f aca="false">IF(G22="Yes",ROUND(H22*F22,2),0)</f>
        <v>3375</v>
      </c>
      <c r="J22" s="15" t="n">
        <f aca="false">IF(G22="Yes",0,ROUND(H22*F22/2,2))</f>
        <v>0</v>
      </c>
      <c r="K22" s="15" t="n">
        <f aca="false">J22</f>
        <v>0</v>
      </c>
      <c r="L22" s="15" t="n">
        <f aca="false">H22+I22+J22+K22</f>
        <v>22125</v>
      </c>
    </row>
    <row r="23" customFormat="false" ht="15" hidden="false" customHeight="false" outlineLevel="0" collapsed="false">
      <c r="A23" s="8" t="s">
        <v>236</v>
      </c>
      <c r="B23" s="8" t="s">
        <v>140</v>
      </c>
      <c r="C23" s="8" t="s">
        <v>135</v>
      </c>
      <c r="D23" s="9" t="n">
        <v>20</v>
      </c>
      <c r="E23" s="9" t="n">
        <v>320</v>
      </c>
      <c r="F23" s="16" t="n">
        <v>0.18</v>
      </c>
      <c r="G23" s="8" t="s">
        <v>136</v>
      </c>
      <c r="H23" s="15" t="n">
        <f aca="false">D23*E23</f>
        <v>6400</v>
      </c>
      <c r="I23" s="15" t="n">
        <f aca="false">IF(G23="Yes",ROUND(H23*F23,2),0)</f>
        <v>0</v>
      </c>
      <c r="J23" s="15" t="n">
        <f aca="false">IF(G23="Yes",0,ROUND(H23*F23/2,2))</f>
        <v>576</v>
      </c>
      <c r="K23" s="15" t="n">
        <f aca="false">J23</f>
        <v>576</v>
      </c>
      <c r="L23" s="15" t="n">
        <f aca="false">H23+I23+J23+K23</f>
        <v>7552</v>
      </c>
    </row>
    <row r="24" customFormat="false" ht="15" hidden="false" customHeight="false" outlineLevel="0" collapsed="false">
      <c r="A24" s="8" t="s">
        <v>236</v>
      </c>
      <c r="B24" s="8" t="s">
        <v>140</v>
      </c>
      <c r="C24" s="8" t="s">
        <v>137</v>
      </c>
      <c r="D24" s="9" t="n">
        <v>30</v>
      </c>
      <c r="E24" s="9" t="n">
        <v>120</v>
      </c>
      <c r="F24" s="16" t="n">
        <v>0.18</v>
      </c>
      <c r="G24" s="8" t="s">
        <v>136</v>
      </c>
      <c r="H24" s="15" t="n">
        <f aca="false">D24*E24</f>
        <v>3600</v>
      </c>
      <c r="I24" s="15" t="n">
        <f aca="false">IF(G24="Yes",ROUND(H24*F24,2),0)</f>
        <v>0</v>
      </c>
      <c r="J24" s="15" t="n">
        <f aca="false">IF(G24="Yes",0,ROUND(H24*F24/2,2))</f>
        <v>324</v>
      </c>
      <c r="K24" s="15" t="n">
        <f aca="false">J24</f>
        <v>324</v>
      </c>
      <c r="L24" s="15" t="n">
        <f aca="false">H24+I24+J24+K24</f>
        <v>4248</v>
      </c>
    </row>
    <row r="25" customFormat="false" ht="15" hidden="false" customHeight="false" outlineLevel="0" collapsed="false">
      <c r="A25" s="8" t="s">
        <v>236</v>
      </c>
      <c r="B25" s="8" t="s">
        <v>140</v>
      </c>
      <c r="C25" s="8" t="s">
        <v>138</v>
      </c>
      <c r="D25" s="9" t="n">
        <v>50</v>
      </c>
      <c r="E25" s="9" t="n">
        <v>35</v>
      </c>
      <c r="F25" s="16" t="n">
        <v>0</v>
      </c>
      <c r="G25" s="8" t="s">
        <v>136</v>
      </c>
      <c r="H25" s="15" t="n">
        <f aca="false">D25*E25</f>
        <v>1750</v>
      </c>
      <c r="I25" s="15" t="n">
        <f aca="false">IF(G25="Yes",ROUND(H25*F25,2),0)</f>
        <v>0</v>
      </c>
      <c r="J25" s="15" t="n">
        <f aca="false">IF(G25="Yes",0,ROUND(H25*F25/2,2))</f>
        <v>0</v>
      </c>
      <c r="K25" s="15" t="n">
        <f aca="false">J25</f>
        <v>0</v>
      </c>
      <c r="L25" s="15" t="n">
        <f aca="false">H25+I25+J25+K25</f>
        <v>1750</v>
      </c>
    </row>
    <row r="27" customFormat="false" ht="15" hidden="false" customHeight="false" outlineLevel="0" collapsed="false">
      <c r="A27" s="12" t="s">
        <v>237</v>
      </c>
      <c r="B27" s="9" t="n">
        <v>67400</v>
      </c>
    </row>
    <row r="28" customFormat="false" ht="15" hidden="false" customHeight="false" outlineLevel="0" collapsed="false">
      <c r="A28" s="12" t="s">
        <v>238</v>
      </c>
      <c r="B28" s="9" t="n">
        <v>40800</v>
      </c>
    </row>
    <row r="29" customFormat="false" ht="15" hidden="false" customHeight="false" outlineLevel="0" collapsed="false">
      <c r="A29" s="12" t="s">
        <v>62</v>
      </c>
      <c r="B29" s="9" t="n">
        <v>12000</v>
      </c>
    </row>
    <row r="30" customFormat="false" ht="15" hidden="false" customHeight="false" outlineLevel="0" collapsed="false">
      <c r="A30" s="12" t="s">
        <v>79</v>
      </c>
      <c r="B30" s="9" t="n">
        <v>18000</v>
      </c>
    </row>
    <row r="31" customFormat="false" ht="15" hidden="false" customHeight="false" outlineLevel="0" collapsed="false">
      <c r="A31" s="12" t="s">
        <v>74</v>
      </c>
      <c r="B31" s="9" t="n">
        <v>4200</v>
      </c>
    </row>
    <row r="33" customFormat="false" ht="15" hidden="false" customHeight="false" outlineLevel="0" collapsed="false">
      <c r="A33" s="10" t="s">
        <v>239</v>
      </c>
      <c r="B33" s="11" t="n">
        <f aca="false">SUMIF(B16:B25,"Sale",H16:H25)</f>
        <v>176000</v>
      </c>
    </row>
    <row r="34" customFormat="false" ht="15" hidden="false" customHeight="false" outlineLevel="0" collapsed="false">
      <c r="A34" s="10" t="s">
        <v>240</v>
      </c>
      <c r="B34" s="11" t="n">
        <f aca="false">SUMIF(B16:B25,"Purchase",H16:H25)</f>
        <v>106900</v>
      </c>
    </row>
    <row r="35" customFormat="false" ht="15" hidden="false" customHeight="false" outlineLevel="0" collapsed="false">
      <c r="A35" s="10" t="s">
        <v>95</v>
      </c>
      <c r="B35" s="11" t="n">
        <f aca="false">B33+B28-B27-B34</f>
        <v>42500</v>
      </c>
    </row>
    <row r="36" customFormat="false" ht="15" hidden="false" customHeight="false" outlineLevel="0" collapsed="false">
      <c r="A36" s="10" t="s">
        <v>241</v>
      </c>
      <c r="B36" s="11" t="n">
        <f aca="false">B35-B29-B30-B31</f>
        <v>8300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2026-10-26T03:54:17Z</dcterms:created>
  <dc:creator>openpyxl</dc:creator>
  <dc:description/>
  <dc:language>en-US</dc:language>
  <cp:lastModifiedBy/>
  <dcterms:modified xsi:type="dcterms:W3CDTF">2026-10-26T03:54:17Z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